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43" documentId="11_D605E5071FF0AF0D79BB78A1FFBFBFE050C87516" xr6:coauthVersionLast="47" xr6:coauthVersionMax="47" xr10:uidLastSave="{4475765D-EDFE-4166-BE53-C93A2567F2DB}"/>
  <bookViews>
    <workbookView xWindow="-120" yWindow="-16320" windowWidth="29040" windowHeight="15840" firstSheet="1" activeTab="10" xr2:uid="{00000000-000D-0000-FFFF-FFFF00000000}"/>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Campos'!$B$16:$BS$234</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0" r:id="rId12"/>
    <pivotCache cacheId="1" r:id="rId13"/>
    <pivotCache cacheId="2" r:id="rId14"/>
    <pivotCache cacheId="3" r:id="rId15"/>
    <pivotCache cacheId="4" r:id="rId16"/>
    <pivotCache cacheId="5" r:id="rId17"/>
    <pivotCache cacheId="6"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3" i="21" l="1"/>
  <c r="P232"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6" i="21"/>
  <c r="I226" i="21"/>
  <c r="J215" i="21"/>
  <c r="I215" i="21"/>
  <c r="J210" i="21"/>
  <c r="I210" i="21"/>
  <c r="J206" i="21"/>
  <c r="I206" i="21"/>
  <c r="J203" i="21"/>
  <c r="I203" i="21"/>
  <c r="J201" i="21"/>
  <c r="I201" i="21"/>
  <c r="I199" i="21"/>
  <c r="J193" i="21"/>
  <c r="I193" i="21"/>
  <c r="J188" i="21"/>
  <c r="I188" i="21"/>
  <c r="J181" i="21"/>
  <c r="I181" i="21"/>
  <c r="J175" i="21"/>
  <c r="I173" i="21"/>
  <c r="J171" i="21"/>
  <c r="I171" i="21"/>
  <c r="J167" i="21"/>
  <c r="J161" i="21"/>
  <c r="I161" i="21"/>
  <c r="J138" i="21"/>
  <c r="I138" i="21"/>
  <c r="J125" i="21"/>
  <c r="J117" i="21"/>
  <c r="J112" i="21"/>
  <c r="J105" i="21"/>
  <c r="J84" i="21"/>
  <c r="J79" i="21"/>
  <c r="J70" i="21"/>
  <c r="J53" i="21"/>
  <c r="J30" i="21"/>
  <c r="J17" i="21"/>
  <c r="BT16" i="21" l="1"/>
  <c r="BN10" i="20"/>
  <c r="BN6" i="20" s="1"/>
  <c r="G226" i="21"/>
  <c r="G215" i="21"/>
  <c r="K201" i="21"/>
  <c r="G210" i="21"/>
  <c r="G206" i="21"/>
  <c r="G203" i="21"/>
  <c r="G201" i="21"/>
  <c r="K181" i="21"/>
  <c r="K175" i="21"/>
  <c r="G181" i="21"/>
  <c r="G199" i="21"/>
  <c r="G193" i="21"/>
  <c r="G188" i="21"/>
  <c r="G175" i="21"/>
  <c r="K167" i="21"/>
  <c r="G173" i="21"/>
  <c r="G171" i="21"/>
  <c r="G167" i="21"/>
  <c r="G161" i="21"/>
  <c r="K138" i="21"/>
  <c r="G138" i="21"/>
  <c r="G125" i="21"/>
  <c r="G117" i="21"/>
  <c r="G112" i="21"/>
  <c r="G105" i="21"/>
  <c r="G84" i="21"/>
  <c r="G79" i="21"/>
  <c r="K70" i="21"/>
  <c r="G70" i="21"/>
  <c r="G53" i="21"/>
  <c r="G30" i="21"/>
  <c r="K30" i="21"/>
  <c r="G17" i="21"/>
  <c r="S234" i="21"/>
  <c r="T234" i="21" s="1"/>
  <c r="U234" i="21" s="1"/>
  <c r="A231" i="21"/>
  <c r="T198" i="21"/>
  <c r="U198" i="21" s="1"/>
  <c r="A198" i="21"/>
  <c r="T197" i="21"/>
  <c r="U197" i="21" s="1"/>
  <c r="A197" i="21"/>
  <c r="T196" i="21"/>
  <c r="U196" i="21" s="1"/>
  <c r="A196" i="21"/>
  <c r="T195" i="21"/>
  <c r="U195" i="21" s="1"/>
  <c r="A195" i="21"/>
  <c r="T194" i="21"/>
  <c r="U194" i="21" s="1"/>
  <c r="A194" i="21"/>
  <c r="T192" i="21"/>
  <c r="U192" i="21" s="1"/>
  <c r="A192" i="21"/>
  <c r="T200" i="21"/>
  <c r="U200" i="21" s="1"/>
  <c r="A200" i="21"/>
  <c r="T191" i="21"/>
  <c r="U191" i="21" s="1"/>
  <c r="A191" i="21"/>
  <c r="T190" i="21"/>
  <c r="U190" i="21" s="1"/>
  <c r="A190" i="21"/>
  <c r="T189" i="21"/>
  <c r="U189" i="21" s="1"/>
  <c r="A189" i="21"/>
  <c r="T214" i="21"/>
  <c r="U214" i="21" s="1"/>
  <c r="A214" i="21"/>
  <c r="T213" i="21"/>
  <c r="U213" i="21" s="1"/>
  <c r="A213" i="21"/>
  <c r="T212" i="21"/>
  <c r="U212" i="21" s="1"/>
  <c r="A212" i="21"/>
  <c r="T230" i="21"/>
  <c r="U230" i="21" s="1"/>
  <c r="A230" i="21"/>
  <c r="T229" i="21"/>
  <c r="U229" i="21" s="1"/>
  <c r="A229"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16" i="21"/>
  <c r="U216" i="21" s="1"/>
  <c r="A216" i="21"/>
  <c r="T205" i="21"/>
  <c r="U205" i="21" s="1"/>
  <c r="A205" i="21"/>
  <c r="T209" i="21"/>
  <c r="U209" i="21" s="1"/>
  <c r="A209" i="21"/>
  <c r="T208" i="21"/>
  <c r="U208" i="21" s="1"/>
  <c r="A208" i="21"/>
  <c r="T207" i="21"/>
  <c r="U207" i="21" s="1"/>
  <c r="A207" i="21"/>
  <c r="T202" i="21"/>
  <c r="U202" i="21" s="1"/>
  <c r="A202" i="21"/>
  <c r="T228" i="21"/>
  <c r="U228" i="21" s="1"/>
  <c r="A228" i="21"/>
  <c r="T227" i="21"/>
  <c r="U227" i="21" s="1"/>
  <c r="A227" i="21"/>
  <c r="T211" i="21"/>
  <c r="U211" i="21" s="1"/>
  <c r="A211" i="21"/>
  <c r="T204" i="21"/>
  <c r="U204" i="21" s="1"/>
  <c r="A204"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U25" i="15" l="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7" i="21" s="1"/>
  <c r="N197" i="21" s="1"/>
  <c r="G588" i="20"/>
  <c r="G561" i="17" s="1"/>
  <c r="H195" i="21" s="1"/>
  <c r="N195" i="21" s="1"/>
  <c r="G589" i="20"/>
  <c r="G562" i="17" s="1"/>
  <c r="H196" i="21" s="1"/>
  <c r="N196" i="21" s="1"/>
  <c r="G591" i="20"/>
  <c r="G564" i="17" s="1"/>
  <c r="H198" i="21" s="1"/>
  <c r="N19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1" i="21" s="1"/>
  <c r="N211"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4" i="21" s="1"/>
  <c r="N224"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6" i="21" s="1"/>
  <c r="N216"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0" i="21" s="1"/>
  <c r="N220"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8" i="21" s="1"/>
  <c r="N228"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8" i="21" s="1"/>
  <c r="N218"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4" i="21" s="1"/>
  <c r="N204"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2" i="21" s="1"/>
  <c r="N202" i="21" s="1"/>
  <c r="N201" i="21" s="1"/>
  <c r="G554" i="20"/>
  <c r="G527" i="17" s="1"/>
  <c r="H230" i="21" s="1"/>
  <c r="N230"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19" i="21" s="1"/>
  <c r="N219"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3" i="21" s="1"/>
  <c r="N223"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7" i="21" s="1"/>
  <c r="N227" i="21" s="1"/>
  <c r="G553" i="20"/>
  <c r="G526" i="17" s="1"/>
  <c r="H229" i="21" s="1"/>
  <c r="N229"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8" i="21" s="1"/>
  <c r="N208" i="21" s="1"/>
  <c r="G555" i="20"/>
  <c r="G528" i="17" s="1"/>
  <c r="H212" i="21" s="1"/>
  <c r="N212"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7" i="21" s="1"/>
  <c r="N217" i="21" s="1"/>
  <c r="G557" i="20"/>
  <c r="G530" i="17" s="1"/>
  <c r="H214" i="21" s="1"/>
  <c r="N214"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1" i="21" s="1"/>
  <c r="N221" i="21" s="1"/>
  <c r="G559" i="20"/>
  <c r="G532" i="17" s="1"/>
  <c r="G173" i="20"/>
  <c r="G152" i="17" s="1"/>
  <c r="G254" i="20"/>
  <c r="G231" i="17" s="1"/>
  <c r="G319" i="20"/>
  <c r="G296" i="17" s="1"/>
  <c r="G381" i="20"/>
  <c r="G356" i="17" s="1"/>
  <c r="H71" i="21" s="1"/>
  <c r="N71" i="21" s="1"/>
  <c r="G445" i="20"/>
  <c r="G420" i="17" s="1"/>
  <c r="G508" i="20"/>
  <c r="G481" i="17" s="1"/>
  <c r="H209" i="21" s="1"/>
  <c r="N209"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5" i="21" s="1"/>
  <c r="N225"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2" i="21" s="1"/>
  <c r="N222"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7" i="21" s="1"/>
  <c r="N207"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3" i="21" s="1"/>
  <c r="N213"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0" i="21" s="1"/>
  <c r="N200" i="21" s="1"/>
  <c r="N199"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4" i="21" s="1"/>
  <c r="N194"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5" i="21" s="1"/>
  <c r="N205"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93" i="21" l="1"/>
  <c r="N167" i="21"/>
  <c r="N161" i="21"/>
  <c r="N70" i="21"/>
  <c r="N79" i="21"/>
  <c r="N181" i="21"/>
  <c r="N105" i="21"/>
  <c r="N203" i="21"/>
  <c r="N112" i="21"/>
  <c r="N188" i="21"/>
  <c r="N53" i="21"/>
  <c r="N117" i="21"/>
  <c r="N175" i="21"/>
  <c r="N206" i="21"/>
  <c r="N84" i="21"/>
  <c r="N226" i="21"/>
  <c r="N138" i="21"/>
  <c r="N215" i="21"/>
  <c r="N125" i="21"/>
  <c r="N210"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L111" i="21" l="1" a="1"/>
  <c r="L111" i="21" s="1"/>
  <c r="O111" i="21" s="1"/>
  <c r="P111" i="21" s="1"/>
  <c r="L36" i="21" a="1"/>
  <c r="L36" i="21" s="1"/>
  <c r="CH16" i="21"/>
  <c r="CB13" i="20"/>
  <c r="CA12" i="20"/>
  <c r="CA9" i="20"/>
  <c r="L63" i="21" l="1" a="1"/>
  <c r="L63" i="21" s="1"/>
  <c r="M63" i="21" a="1"/>
  <c r="M63" i="21" s="1"/>
  <c r="M169" i="21" a="1"/>
  <c r="M169" i="21" s="1"/>
  <c r="L232" i="21" a="1"/>
  <c r="L232" i="21" s="1"/>
  <c r="M232" i="21" a="1"/>
  <c r="M232"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6" i="21" a="1"/>
  <c r="L196" i="21" s="1"/>
  <c r="O196" i="21" s="1"/>
  <c r="P196" i="21" s="1"/>
  <c r="M208" i="21" a="1"/>
  <c r="M208" i="21" s="1"/>
  <c r="M217" i="21" a="1"/>
  <c r="M217" i="21" s="1"/>
  <c r="M97" i="21" a="1"/>
  <c r="M97" i="21" s="1"/>
  <c r="L216" i="21" a="1"/>
  <c r="L216" i="21" s="1"/>
  <c r="O216" i="21" s="1"/>
  <c r="P216" i="21" s="1"/>
  <c r="L151" i="21" a="1"/>
  <c r="L151" i="21" s="1"/>
  <c r="O151" i="21" s="1"/>
  <c r="P151" i="21" s="1"/>
  <c r="L100" i="21" a="1"/>
  <c r="L100" i="21" s="1"/>
  <c r="O100" i="21" s="1"/>
  <c r="P100" i="21" s="1"/>
  <c r="M93" i="21" a="1"/>
  <c r="M93" i="21" s="1"/>
  <c r="L120" i="21" a="1"/>
  <c r="L120" i="21" s="1"/>
  <c r="L214" i="21" a="1"/>
  <c r="L214" i="21" s="1"/>
  <c r="O214" i="21" s="1"/>
  <c r="P214" i="21" s="1"/>
  <c r="L172" i="21" a="1"/>
  <c r="L172" i="21" s="1"/>
  <c r="M222" i="21" a="1"/>
  <c r="M222" i="21" s="1"/>
  <c r="L162" i="21" a="1"/>
  <c r="L162" i="21" s="1"/>
  <c r="M221" i="21" a="1"/>
  <c r="M221" i="21" s="1"/>
  <c r="M76" i="21" a="1"/>
  <c r="M76" i="21" s="1"/>
  <c r="L85" i="21" a="1"/>
  <c r="L85" i="21" s="1"/>
  <c r="M129" i="21" a="1"/>
  <c r="M129" i="21" s="1"/>
  <c r="L149" i="21" a="1"/>
  <c r="L149" i="21" s="1"/>
  <c r="O149" i="21" s="1"/>
  <c r="P149" i="21" s="1"/>
  <c r="L166" i="21" a="1"/>
  <c r="L166" i="21" s="1"/>
  <c r="O166" i="21" s="1"/>
  <c r="P166" i="21" s="1"/>
  <c r="M231" i="21" a="1"/>
  <c r="M231" i="21" s="1"/>
  <c r="L198" i="21" a="1"/>
  <c r="L198" i="21" s="1"/>
  <c r="O198" i="21" s="1"/>
  <c r="P198" i="21" s="1"/>
  <c r="M164" i="21" a="1"/>
  <c r="M164" i="21" s="1"/>
  <c r="L146" i="21" a="1"/>
  <c r="L146" i="21" s="1"/>
  <c r="O146" i="21" s="1"/>
  <c r="P146" i="21" s="1"/>
  <c r="L227" i="21" a="1"/>
  <c r="L227" i="21" s="1"/>
  <c r="M140" i="21" a="1"/>
  <c r="M140" i="21" s="1"/>
  <c r="M176" i="21" a="1"/>
  <c r="M176" i="21" s="1"/>
  <c r="L177" i="21" a="1"/>
  <c r="L177" i="21" s="1"/>
  <c r="L121" i="21" a="1"/>
  <c r="L121" i="21" s="1"/>
  <c r="M209" i="21" a="1"/>
  <c r="M209"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2" i="21" a="1"/>
  <c r="L212" i="21" s="1"/>
  <c r="L116" i="21" a="1"/>
  <c r="L116" i="21" s="1"/>
  <c r="O116" i="21" s="1"/>
  <c r="P116" i="21" s="1"/>
  <c r="L222" i="21" a="1"/>
  <c r="L222" i="21" s="1"/>
  <c r="O222" i="21" s="1"/>
  <c r="P222" i="21" s="1"/>
  <c r="L230" i="21" a="1"/>
  <c r="L230" i="21" s="1"/>
  <c r="O230" i="21" s="1"/>
  <c r="P230"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8" i="21" a="1"/>
  <c r="M218"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2" i="21" a="1"/>
  <c r="M202" i="21" s="1"/>
  <c r="M201"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19" i="21" a="1"/>
  <c r="L219" i="21" s="1"/>
  <c r="O219" i="21" s="1"/>
  <c r="P219" i="21" s="1"/>
  <c r="L158" i="21" a="1"/>
  <c r="L158" i="21" s="1"/>
  <c r="O158" i="21" s="1"/>
  <c r="P158" i="21" s="1"/>
  <c r="M143" i="21" a="1"/>
  <c r="M143" i="21" s="1"/>
  <c r="L128" i="21" a="1"/>
  <c r="L128" i="21" s="1"/>
  <c r="O128" i="21" s="1"/>
  <c r="P128" i="21" s="1"/>
  <c r="M144" i="21" a="1"/>
  <c r="M144" i="21" s="1"/>
  <c r="L224" i="21" a="1"/>
  <c r="L224" i="21" s="1"/>
  <c r="O224" i="21" s="1"/>
  <c r="P224" i="21" s="1"/>
  <c r="M107" i="21" a="1"/>
  <c r="M107" i="21" s="1"/>
  <c r="L207" i="21" a="1"/>
  <c r="L207" i="21" s="1"/>
  <c r="L129" i="21" a="1"/>
  <c r="L129" i="21" s="1"/>
  <c r="O129" i="21" s="1"/>
  <c r="P129" i="21" s="1"/>
  <c r="M186" i="21" a="1"/>
  <c r="M186" i="21" s="1"/>
  <c r="L134" i="21" a="1"/>
  <c r="L134" i="21" s="1"/>
  <c r="O134" i="21" s="1"/>
  <c r="P134" i="21" s="1"/>
  <c r="L97" i="21" a="1"/>
  <c r="L97" i="21" s="1"/>
  <c r="O97" i="21" s="1"/>
  <c r="P97" i="21" s="1"/>
  <c r="M127" i="21" a="1"/>
  <c r="M127" i="21" s="1"/>
  <c r="M228" i="21" a="1"/>
  <c r="M228" i="21" s="1"/>
  <c r="M132" i="21" a="1"/>
  <c r="M132" i="21" s="1"/>
  <c r="M75" i="21" a="1"/>
  <c r="M75" i="21" s="1"/>
  <c r="M83" i="21" a="1"/>
  <c r="M83" i="21" s="1"/>
  <c r="M212" i="21" a="1"/>
  <c r="M212" i="21" s="1"/>
  <c r="L194" i="21" a="1"/>
  <c r="L194" i="21" s="1"/>
  <c r="L213" i="21" a="1"/>
  <c r="L213" i="21" s="1"/>
  <c r="O213" i="21" s="1"/>
  <c r="P213" i="21" s="1"/>
  <c r="L98" i="21" a="1"/>
  <c r="L98" i="21" s="1"/>
  <c r="O98" i="21" s="1"/>
  <c r="P98" i="21" s="1"/>
  <c r="L142" i="21" a="1"/>
  <c r="L142" i="21" s="1"/>
  <c r="O142" i="21" s="1"/>
  <c r="P142" i="21" s="1"/>
  <c r="M224" i="21" a="1"/>
  <c r="M224" i="21" s="1"/>
  <c r="M80" i="21" a="1"/>
  <c r="M80" i="21" s="1"/>
  <c r="M111" i="21" a="1"/>
  <c r="M111" i="21" s="1"/>
  <c r="L218" i="21" a="1"/>
  <c r="L218" i="21" s="1"/>
  <c r="O218" i="21" s="1"/>
  <c r="P218" i="21" s="1"/>
  <c r="M184" i="21" a="1"/>
  <c r="M184" i="21" s="1"/>
  <c r="M154" i="21" a="1"/>
  <c r="M154" i="21" s="1"/>
  <c r="M225" i="21" a="1"/>
  <c r="M225"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29" i="21" a="1"/>
  <c r="L229" i="21" s="1"/>
  <c r="O229" i="21" s="1"/>
  <c r="P229" i="21" s="1"/>
  <c r="M122" i="21" a="1"/>
  <c r="M122" i="21" s="1"/>
  <c r="M103" i="21" a="1"/>
  <c r="M103" i="21" s="1"/>
  <c r="L183" i="21" a="1"/>
  <c r="L183" i="21" s="1"/>
  <c r="O183" i="21" s="1"/>
  <c r="P183" i="21" s="1"/>
  <c r="L184" i="21" a="1"/>
  <c r="L184" i="21" s="1"/>
  <c r="O184" i="21" s="1"/>
  <c r="P184" i="21" s="1"/>
  <c r="L208" i="21" a="1"/>
  <c r="L208" i="21" s="1"/>
  <c r="O208" i="21" s="1"/>
  <c r="P208" i="21" s="1"/>
  <c r="L202" i="21" a="1"/>
  <c r="L202" i="21" s="1"/>
  <c r="L217" i="21" a="1"/>
  <c r="L217" i="21" s="1"/>
  <c r="O217" i="21" s="1"/>
  <c r="P217" i="21" s="1"/>
  <c r="M72" i="21" a="1"/>
  <c r="M72" i="21" s="1"/>
  <c r="M96" i="21" a="1"/>
  <c r="M96" i="21" s="1"/>
  <c r="L169" i="21" a="1"/>
  <c r="L169" i="21" s="1"/>
  <c r="O169" i="21" s="1"/>
  <c r="P169" i="21" s="1"/>
  <c r="L221" i="21" a="1"/>
  <c r="L221" i="21" s="1"/>
  <c r="O221" i="21" s="1"/>
  <c r="P221" i="21" s="1"/>
  <c r="M135" i="21" a="1"/>
  <c r="M135" i="21" s="1"/>
  <c r="M230" i="21" a="1"/>
  <c r="M230" i="21" s="1"/>
  <c r="M71" i="21" a="1"/>
  <c r="M71" i="21" s="1"/>
  <c r="L119" i="21" a="1"/>
  <c r="L119" i="21" s="1"/>
  <c r="O119" i="21" s="1"/>
  <c r="P119" i="21" s="1"/>
  <c r="L118" i="21" a="1"/>
  <c r="L118" i="21" s="1"/>
  <c r="L86" i="21" a="1"/>
  <c r="L86" i="21" s="1"/>
  <c r="O86" i="21" s="1"/>
  <c r="P86" i="21" s="1"/>
  <c r="M162" i="21" a="1"/>
  <c r="M162" i="21" s="1"/>
  <c r="M74" i="21" a="1"/>
  <c r="M74" i="21" s="1"/>
  <c r="M194" i="21" a="1"/>
  <c r="M194" i="21" s="1"/>
  <c r="M207" i="21" a="1"/>
  <c r="M207" i="21" s="1"/>
  <c r="L73" i="21" a="1"/>
  <c r="L73" i="21" s="1"/>
  <c r="O73" i="21" s="1"/>
  <c r="P73" i="21" s="1"/>
  <c r="M223" i="21" a="1"/>
  <c r="M223" i="21" s="1"/>
  <c r="L95" i="21" a="1"/>
  <c r="L95" i="21" s="1"/>
  <c r="O95" i="21" s="1"/>
  <c r="P95" i="21" s="1"/>
  <c r="M177" i="21" a="1"/>
  <c r="M177" i="21" s="1"/>
  <c r="L223" i="21" a="1"/>
  <c r="L223" i="21" s="1"/>
  <c r="O223" i="21" s="1"/>
  <c r="P223" i="21" s="1"/>
  <c r="M91" i="21" a="1"/>
  <c r="M91" i="21" s="1"/>
  <c r="L139" i="21" a="1"/>
  <c r="L139" i="21" s="1"/>
  <c r="L205" i="21" a="1"/>
  <c r="L205" i="21" s="1"/>
  <c r="O205" i="21" s="1"/>
  <c r="P205" i="21" s="1"/>
  <c r="M82" i="21" a="1"/>
  <c r="M82" i="21" s="1"/>
  <c r="M141" i="21" a="1"/>
  <c r="M141" i="21" s="1"/>
  <c r="L55" i="21" a="1"/>
  <c r="L55" i="21" s="1"/>
  <c r="M149" i="21" a="1"/>
  <c r="M149" i="21" s="1"/>
  <c r="M163" i="21" a="1"/>
  <c r="M163" i="21" s="1"/>
  <c r="L132" i="21" a="1"/>
  <c r="L132" i="21" s="1"/>
  <c r="O132" i="21" s="1"/>
  <c r="P132" i="21" s="1"/>
  <c r="M131" i="21" a="1"/>
  <c r="M131" i="21" s="1"/>
  <c r="L204" i="21" a="1"/>
  <c r="L204" i="21" s="1"/>
  <c r="M189" i="21" a="1"/>
  <c r="M189" i="21" s="1"/>
  <c r="M124" i="21" a="1"/>
  <c r="M124" i="21" s="1"/>
  <c r="L220" i="21" a="1"/>
  <c r="L220" i="21" s="1"/>
  <c r="O220" i="21" s="1"/>
  <c r="P220" i="21" s="1"/>
  <c r="L150" i="21" a="1"/>
  <c r="L150" i="21" s="1"/>
  <c r="O150" i="21" s="1"/>
  <c r="P150" i="21" s="1"/>
  <c r="M213" i="21" a="1"/>
  <c r="M213" i="21" s="1"/>
  <c r="M145" i="21" a="1"/>
  <c r="M145" i="21" s="1"/>
  <c r="L136" i="21" a="1"/>
  <c r="L136" i="21" s="1"/>
  <c r="O136" i="21" s="1"/>
  <c r="P136" i="21" s="1"/>
  <c r="L178" i="21" a="1"/>
  <c r="L178" i="21" s="1"/>
  <c r="O178" i="21" s="1"/>
  <c r="P178" i="21" s="1"/>
  <c r="L155" i="21" a="1"/>
  <c r="L155" i="21" s="1"/>
  <c r="O155" i="21" s="1"/>
  <c r="P155" i="21" s="1"/>
  <c r="M152" i="21" a="1"/>
  <c r="M152" i="21" s="1"/>
  <c r="M197" i="21" a="1"/>
  <c r="M197" i="21" s="1"/>
  <c r="M198" i="21" a="1"/>
  <c r="M198" i="21" s="1"/>
  <c r="M211" i="21" a="1"/>
  <c r="M211" i="21" s="1"/>
  <c r="M210" i="21" s="1"/>
  <c r="L104" i="21" a="1"/>
  <c r="L104" i="21" s="1"/>
  <c r="O104" i="21" s="1"/>
  <c r="P104" i="21" s="1"/>
  <c r="L90" i="21" a="1"/>
  <c r="L90" i="21" s="1"/>
  <c r="O90" i="21" s="1"/>
  <c r="P90" i="21" s="1"/>
  <c r="M216" i="21" a="1"/>
  <c r="M216" i="21" s="1"/>
  <c r="M196" i="21" a="1"/>
  <c r="M196" i="21" s="1"/>
  <c r="M81" i="21" a="1"/>
  <c r="M81" i="21" s="1"/>
  <c r="L75" i="21" a="1"/>
  <c r="L75" i="21" s="1"/>
  <c r="L76" i="21" a="1"/>
  <c r="L76" i="21" s="1"/>
  <c r="M220" i="21" a="1"/>
  <c r="M220" i="21" s="1"/>
  <c r="L209" i="21" a="1"/>
  <c r="L209" i="21" s="1"/>
  <c r="O209" i="21" s="1"/>
  <c r="P209" i="21" s="1"/>
  <c r="M160" i="21" a="1"/>
  <c r="M160" i="21" s="1"/>
  <c r="L191" i="21" a="1"/>
  <c r="L191" i="21" s="1"/>
  <c r="O191" i="21" s="1"/>
  <c r="P191" i="21" s="1"/>
  <c r="M159" i="21" a="1"/>
  <c r="M159" i="21" s="1"/>
  <c r="M195" i="21" a="1"/>
  <c r="M195" i="21" s="1"/>
  <c r="M219" i="21" a="1"/>
  <c r="M219"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7" i="21" a="1"/>
  <c r="L197" i="21" s="1"/>
  <c r="O197" i="21" s="1"/>
  <c r="P197" i="21" s="1"/>
  <c r="M185" i="21" a="1"/>
  <c r="M185" i="21" s="1"/>
  <c r="L82" i="21" a="1"/>
  <c r="L82" i="21" s="1"/>
  <c r="O82" i="21" s="1"/>
  <c r="P82" i="21" s="1"/>
  <c r="M128" i="21" a="1"/>
  <c r="M128" i="21" s="1"/>
  <c r="M120" i="21" a="1"/>
  <c r="M120" i="21" s="1"/>
  <c r="M205" i="21" a="1"/>
  <c r="M205"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0" i="21" a="1"/>
  <c r="M200" i="21" s="1"/>
  <c r="M199"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0" i="21" a="1"/>
  <c r="L200"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O192" i="21" s="1"/>
  <c r="P192" i="21" s="1"/>
  <c r="L189" i="21" a="1"/>
  <c r="L189" i="21" s="1"/>
  <c r="L78" i="21" a="1"/>
  <c r="L78" i="21" s="1"/>
  <c r="M118" i="21" a="1"/>
  <c r="M118" i="21" s="1"/>
  <c r="L179" i="21" a="1"/>
  <c r="L179" i="21" s="1"/>
  <c r="O179" i="21" s="1"/>
  <c r="P179" i="21" s="1"/>
  <c r="L211" i="21" a="1"/>
  <c r="L211" i="21" s="1"/>
  <c r="M172" i="21" a="1"/>
  <c r="M172" i="21" s="1"/>
  <c r="M171" i="21" s="1"/>
  <c r="L77" i="21" a="1"/>
  <c r="L77" i="21" s="1"/>
  <c r="O77" i="21" s="1"/>
  <c r="P77" i="21" s="1"/>
  <c r="L187" i="21" a="1"/>
  <c r="L187" i="21" s="1"/>
  <c r="O187" i="21" s="1"/>
  <c r="P187" i="21" s="1"/>
  <c r="L231" i="21" a="1"/>
  <c r="L231" i="21" s="1"/>
  <c r="O231" i="21" s="1"/>
  <c r="P231" i="21" s="1"/>
  <c r="L228" i="21" a="1"/>
  <c r="L228" i="21" s="1"/>
  <c r="O228" i="21" s="1"/>
  <c r="P228" i="21" s="1"/>
  <c r="M166" i="21" a="1"/>
  <c r="M166" i="21" s="1"/>
  <c r="M227" i="21" a="1"/>
  <c r="M227" i="21" s="1"/>
  <c r="M214" i="21" a="1"/>
  <c r="M214" i="21" s="1"/>
  <c r="M204" i="21" a="1"/>
  <c r="M204" i="21" s="1"/>
  <c r="L185" i="21" a="1"/>
  <c r="L185" i="21" s="1"/>
  <c r="O185" i="21" s="1"/>
  <c r="P185" i="21" s="1"/>
  <c r="M158" i="21" a="1"/>
  <c r="M158" i="21" s="1"/>
  <c r="M106" i="21" a="1"/>
  <c r="M106" i="21" s="1"/>
  <c r="M108" i="21" a="1"/>
  <c r="M108" i="21" s="1"/>
  <c r="L225" i="21" a="1"/>
  <c r="L225" i="21" s="1"/>
  <c r="O225" i="21" s="1"/>
  <c r="P225" i="21" s="1"/>
  <c r="L190" i="21" a="1"/>
  <c r="L190" i="21" s="1"/>
  <c r="O190" i="21" s="1"/>
  <c r="P190" i="21" s="1"/>
  <c r="M229" i="21" a="1"/>
  <c r="M229" i="21" s="1"/>
  <c r="L141" i="21" a="1"/>
  <c r="L141" i="21" s="1"/>
  <c r="O141" i="21" s="1"/>
  <c r="P141" i="21" s="1"/>
  <c r="L195" i="21" a="1"/>
  <c r="L195" i="21" s="1"/>
  <c r="O195" i="21" s="1"/>
  <c r="P195"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O68" i="21" s="1"/>
  <c r="P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O51" i="21" s="1"/>
  <c r="P51" i="21" s="1"/>
  <c r="M41" i="21" a="1"/>
  <c r="M41" i="21" s="1"/>
  <c r="L58" i="21" a="1"/>
  <c r="L58" i="21" s="1"/>
  <c r="M60" i="21" a="1"/>
  <c r="M60" i="21" s="1"/>
  <c r="M38" i="21" a="1"/>
  <c r="M38" i="21" s="1"/>
  <c r="M55" i="21" a="1"/>
  <c r="M55" i="21" s="1"/>
  <c r="L50" i="21" a="1"/>
  <c r="L50" i="21" s="1"/>
  <c r="M34" i="21" a="1"/>
  <c r="M34" i="21" s="1"/>
  <c r="L46" i="21" a="1"/>
  <c r="L46" i="21" s="1"/>
  <c r="O46" i="21" s="1"/>
  <c r="P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48" i="21" l="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212" i="21"/>
  <c r="P212" i="21" s="1"/>
  <c r="O65" i="21"/>
  <c r="P65" i="21" s="1"/>
  <c r="O59" i="21"/>
  <c r="P59" i="21" s="1"/>
  <c r="O55" i="21"/>
  <c r="P55" i="21" s="1"/>
  <c r="O44" i="21"/>
  <c r="P44" i="21" s="1"/>
  <c r="O69" i="21"/>
  <c r="P69" i="21" s="1"/>
  <c r="O60" i="21"/>
  <c r="P60" i="21" s="1"/>
  <c r="O121" i="21"/>
  <c r="P121" i="21" s="1"/>
  <c r="O57" i="21"/>
  <c r="P57" i="21" s="1"/>
  <c r="O122" i="21"/>
  <c r="P122" i="21" s="1"/>
  <c r="M206" i="21"/>
  <c r="O72" i="21"/>
  <c r="P72" i="21" s="1"/>
  <c r="M112" i="21"/>
  <c r="O227" i="21"/>
  <c r="P227" i="21" s="1"/>
  <c r="L226" i="21"/>
  <c r="M226" i="21"/>
  <c r="O215" i="21"/>
  <c r="P215" i="21" s="1"/>
  <c r="O39" i="21"/>
  <c r="P39" i="21" s="1"/>
  <c r="M203" i="21"/>
  <c r="M167" i="21"/>
  <c r="M105" i="21"/>
  <c r="M53" i="21"/>
  <c r="L215" i="21"/>
  <c r="M215" i="21"/>
  <c r="O74" i="21"/>
  <c r="P74" i="21" s="1"/>
  <c r="M175" i="21"/>
  <c r="M84" i="21"/>
  <c r="M125" i="21"/>
  <c r="M79" i="21"/>
  <c r="O113" i="21"/>
  <c r="P113" i="21" s="1"/>
  <c r="L112" i="21"/>
  <c r="O139" i="21"/>
  <c r="P139" i="21" s="1"/>
  <c r="L138" i="21"/>
  <c r="M193" i="21"/>
  <c r="O156" i="21"/>
  <c r="P156" i="21" s="1"/>
  <c r="O85" i="21"/>
  <c r="P85" i="21" s="1"/>
  <c r="L84" i="21"/>
  <c r="O204" i="21"/>
  <c r="P204" i="21" s="1"/>
  <c r="L203" i="21"/>
  <c r="M181" i="21"/>
  <c r="O54" i="21"/>
  <c r="P54" i="21" s="1"/>
  <c r="L53" i="21"/>
  <c r="O211" i="21"/>
  <c r="P211" i="21" s="1"/>
  <c r="L210" i="21"/>
  <c r="M161" i="21"/>
  <c r="M138" i="21"/>
  <c r="O168" i="21"/>
  <c r="P168" i="21" s="1"/>
  <c r="L167" i="21"/>
  <c r="O174" i="21"/>
  <c r="P174" i="21" s="1"/>
  <c r="L173" i="21"/>
  <c r="O126" i="21"/>
  <c r="P126" i="21" s="1"/>
  <c r="L125" i="21"/>
  <c r="M117" i="21"/>
  <c r="O200" i="21"/>
  <c r="P200" i="21" s="1"/>
  <c r="L199" i="21"/>
  <c r="O118" i="21"/>
  <c r="P118" i="21" s="1"/>
  <c r="L117" i="21"/>
  <c r="O162" i="21"/>
  <c r="P162" i="21" s="1"/>
  <c r="L161" i="21"/>
  <c r="O207" i="21"/>
  <c r="P207" i="21" s="1"/>
  <c r="L206" i="21"/>
  <c r="O182" i="21"/>
  <c r="P182" i="21" s="1"/>
  <c r="L181" i="21"/>
  <c r="O106" i="21"/>
  <c r="P106" i="21" s="1"/>
  <c r="L105" i="21"/>
  <c r="O71" i="21"/>
  <c r="P71" i="21" s="1"/>
  <c r="L70" i="21"/>
  <c r="O80" i="21"/>
  <c r="P80" i="21" s="1"/>
  <c r="L79" i="21"/>
  <c r="O189" i="21"/>
  <c r="P189" i="21" s="1"/>
  <c r="L188" i="21"/>
  <c r="L175" i="21"/>
  <c r="O176" i="21"/>
  <c r="P176" i="21" s="1"/>
  <c r="M188" i="21"/>
  <c r="M70" i="21"/>
  <c r="O202" i="21"/>
  <c r="P202" i="21" s="1"/>
  <c r="L201" i="21"/>
  <c r="O194" i="21"/>
  <c r="P194" i="21" s="1"/>
  <c r="L193"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63" i="21" l="1"/>
  <c r="O173" i="21"/>
  <c r="P173" i="21" s="1"/>
  <c r="O201" i="21"/>
  <c r="P201" i="21" s="1"/>
  <c r="O79" i="21"/>
  <c r="P79" i="21" s="1"/>
  <c r="O206" i="21"/>
  <c r="P206" i="21" s="1"/>
  <c r="O84" i="21"/>
  <c r="P84" i="21" s="1"/>
  <c r="O171" i="21"/>
  <c r="P171" i="21" s="1"/>
  <c r="O53" i="21"/>
  <c r="P53" i="21" s="1"/>
  <c r="O125" i="21"/>
  <c r="P125" i="21" s="1"/>
  <c r="O210" i="21"/>
  <c r="P210" i="21" s="1"/>
  <c r="O161" i="21"/>
  <c r="P161" i="21" s="1"/>
  <c r="O117" i="21"/>
  <c r="P117" i="21" s="1"/>
  <c r="O188" i="21"/>
  <c r="P188" i="21" s="1"/>
  <c r="O199" i="21"/>
  <c r="P199" i="21" s="1"/>
  <c r="O203" i="21"/>
  <c r="P203" i="21" s="1"/>
  <c r="O112" i="21"/>
  <c r="P112" i="21" s="1"/>
  <c r="O226" i="21"/>
  <c r="P226" i="21" s="1"/>
  <c r="O105" i="21"/>
  <c r="P105" i="21" s="1"/>
  <c r="O167" i="21"/>
  <c r="P167" i="21" s="1"/>
  <c r="O193" i="21"/>
  <c r="P193" i="21" s="1"/>
  <c r="O181" i="21"/>
  <c r="P181" i="21" s="1"/>
  <c r="O175" i="21"/>
  <c r="P175" i="21" s="1"/>
  <c r="O138" i="21"/>
  <c r="P138" i="21" s="1"/>
  <c r="O30" i="21"/>
  <c r="P30" i="21" s="1"/>
  <c r="O17" i="21"/>
  <c r="P17" i="21" s="1"/>
  <c r="CD12" i="20"/>
  <c r="CD9" i="20"/>
  <c r="CE13" i="20"/>
  <c r="O70" i="21" l="1"/>
  <c r="CF13" i="20"/>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<sst xmlns="http://schemas.openxmlformats.org/spreadsheetml/2006/main" count="28600" uniqueCount="2035">
  <si>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</si>
  <si>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</si>
  <si>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</si>
  <si>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</si>
  <si>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</si>
  <si>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</si>
  <si>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</si>
  <si>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</si>
  <si>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</si>
  <si>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</si>
  <si>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</si>
  <si>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</si>
  <si>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</si>
  <si>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</si>
  <si>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</si>
  <si>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</si>
  <si>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</si>
  <si>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</si>
  <si>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</si>
  <si>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</si>
  <si>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</si>
  <si>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</si>
  <si>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</si>
  <si>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</si>
  <si>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</si>
  <si>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</si>
  <si>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</si>
  <si>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</si>
  <si>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</si>
  <si>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</si>
  <si>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</si>
  <si>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</si>
  <si>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</si>
  <si>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</si>
  <si>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</si>
  <si>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</si>
  <si>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</si>
  <si>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</si>
  <si>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</si>
  <si>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</si>
  <si>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</si>
  <si>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</si>
  <si>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</si>
  <si>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</si>
  <si>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</si>
  <si>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</si>
  <si>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</si>
  <si>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</si>
  <si>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</si>
  <si>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</si>
  <si>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</si>
  <si>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</si>
  <si>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</si>
  <si>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</si>
  <si>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</si>
  <si>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</si>
  <si>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</si>
  <si>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</si>
  <si>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</si>
  <si>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</si>
  <si>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</si>
  <si>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</si>
  <si>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</si>
  <si>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</si>
  <si>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</si>
  <si>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</si>
  <si>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</si>
  <si>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</si>
  <si>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</si>
  <si>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</si>
  <si>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</si>
  <si>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</si>
  <si>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</si>
  <si>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</si>
  <si>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</si>
  <si>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</si>
  <si>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</si>
  <si>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</si>
  <si>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</si>
  <si>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</si>
  <si>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</si>
  <si>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</si>
  <si>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</si>
  <si>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</si>
  <si>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</si>
  <si>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</si>
  <si>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</si>
  <si>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</si>
  <si>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</si>
  <si>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</si>
  <si>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</si>
  <si>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</si>
  <si>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</si>
  <si>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</si>
  <si>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</si>
  <si>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</si>
  <si>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</si>
  <si>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</si>
  <si>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</si>
  <si>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</si>
  <si>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</si>
  <si>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</si>
  <si>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</si>
  <si>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</si>
  <si>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</si>
  <si>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</si>
  <si>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</si>
  <si>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</si>
  <si>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</si>
  <si>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</si>
  <si>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</si>
  <si>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</si>
  <si>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</si>
  <si>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</si>
  <si>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</si>
  <si>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</si>
  <si>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</si>
  <si>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</si>
  <si>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</si>
  <si>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</si>
  <si>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</si>
  <si>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</si>
  <si>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</si>
  <si>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</si>
  <si>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</si>
  <si>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</si>
  <si>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</si>
  <si>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</si>
  <si>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</si>
  <si>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</si>
  <si>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</si>
  <si>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</si>
  <si>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</si>
  <si>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</si>
  <si>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</si>
  <si>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</si>
  <si>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</si>
  <si>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</si>
  <si>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</si>
  <si>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</si>
  <si>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</si>
  <si>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</si>
  <si>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</si>
  <si>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</si>
  <si>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</si>
  <si>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</si>
  <si>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</si>
  <si>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</si>
  <si>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</si>
  <si>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</si>
  <si>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</si>
  <si>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</si>
  <si>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</si>
  <si>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</si>
  <si>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</si>
  <si>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</si>
  <si>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</si>
  <si>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</si>
  <si>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</si>
  <si>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</si>
  <si>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</si>
  <si>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</si>
  <si>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</si>
  <si>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</si>
  <si>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</si>
  <si>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</si>
  <si>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</si>
  <si>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</si>
  <si>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</si>
  <si>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</si>
  <si>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</si>
  <si>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</si>
  <si>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</si>
  <si>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</si>
  <si>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</si>
  <si>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</si>
  <si>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</si>
  <si>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</si>
  <si>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</si>
  <si>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</si>
  <si>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</si>
  <si>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</si>
  <si>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</si>
  <si>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</si>
  <si>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</si>
  <si>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</si>
  <si>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</si>
  <si>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</si>
  <si>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</si>
  <si>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</si>
  <si>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</si>
  <si>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</si>
  <si>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</si>
  <si>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</si>
  <si>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</si>
  <si>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</si>
  <si>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</si>
  <si>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</si>
  <si>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</si>
  <si>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</si>
  <si>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</si>
  <si>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</si>
  <si>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</si>
  <si>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</si>
  <si>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</si>
  <si>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</si>
  <si>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</si>
  <si>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</si>
  <si>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</si>
  <si>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</si>
  <si>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</si>
  <si>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</si>
  <si>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</si>
  <si>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</si>
  <si>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</si>
  <si>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</si>
  <si>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</si>
  <si>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</si>
  <si>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</si>
  <si>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</si>
  <si>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</si>
  <si>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</si>
  <si>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</si>
  <si>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</si>
  <si>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</si>
  <si>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</si>
  <si>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</si>
  <si>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</si>
  <si>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</si>
  <si>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</si>
  <si>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</si>
  <si>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</si>
  <si>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</si>
  <si>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</si>
  <si>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</si>
  <si>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</si>
  <si>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</si>
  <si>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</si>
  <si>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</si>
  <si>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</si>
  <si>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</si>
  <si>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</si>
  <si>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</si>
  <si>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</si>
  <si>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</si>
  <si>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</si>
  <si>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</si>
  <si>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</si>
  <si>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</si>
  <si>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</si>
  <si>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</si>
  <si>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</si>
  <si>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</si>
  <si>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</si>
  <si>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</si>
  <si>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</si>
  <si>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</si>
  <si>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</si>
  <si>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</si>
  <si>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</si>
  <si>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</si>
  <si>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</si>
  <si>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</si>
  <si>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</si>
  <si>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</si>
  <si>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</si>
  <si>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</si>
  <si>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</si>
  <si>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</si>
  <si>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</si>
  <si>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</si>
  <si>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</si>
  <si>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</si>
  <si>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</si>
  <si>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</si>
  <si>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</si>
  <si>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</si>
  <si>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</si>
  <si>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</si>
  <si>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</si>
  <si>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</si>
  <si>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</si>
  <si>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</si>
  <si>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</si>
  <si>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</si>
  <si>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</si>
  <si>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</si>
  <si>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</si>
  <si>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</si>
  <si>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</si>
  <si>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</si>
  <si>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</si>
  <si>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</si>
  <si>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</si>
  <si>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</si>
  <si>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</si>
  <si>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</si>
  <si>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</si>
  <si>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</si>
  <si>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</si>
  <si>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</si>
  <si>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</si>
  <si>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</si>
  <si>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</si>
  <si>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</si>
  <si>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</si>
  <si>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</si>
  <si>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</si>
  <si>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</si>
  <si>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</si>
  <si>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</si>
  <si>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</si>
  <si>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</si>
  <si>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</si>
  <si>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</si>
  <si>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</si>
  <si>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</si>
  <si>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</si>
  <si>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</si>
  <si>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</si>
  <si>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</si>
  <si>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</si>
  <si>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</si>
  <si>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</si>
  <si>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</si>
  <si>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</si>
  <si>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</si>
  <si>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</si>
  <si>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</si>
  <si>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</si>
  <si>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</si>
  <si>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</si>
  <si>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</si>
  <si>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</si>
  <si>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</si>
  <si>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</si>
  <si>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</si>
  <si>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</si>
  <si>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</si>
  <si>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</si>
  <si>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</si>
  <si>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</si>
  <si>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</si>
  <si>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</si>
  <si>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</si>
  <si>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</si>
  <si>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</si>
  <si>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</si>
  <si>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</si>
  <si>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</si>
  <si>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</si>
  <si>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</si>
  <si>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</si>
  <si>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</si>
  <si>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</si>
  <si>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</si>
  <si>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</si>
  <si>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</si>
  <si>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</si>
  <si>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</si>
  <si>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</si>
  <si>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</si>
  <si>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</si>
  <si>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</si>
  <si>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</si>
  <si>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</si>
  <si>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</si>
  <si>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</si>
  <si>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</si>
  <si>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</si>
  <si>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</si>
  <si>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</si>
  <si>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</si>
  <si>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</si>
  <si>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</si>
  <si>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</si>
  <si>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</si>
  <si>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</si>
  <si>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</si>
  <si>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</si>
  <si>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</si>
  <si>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</si>
  <si>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</si>
  <si>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</si>
  <si>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</si>
  <si>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</si>
  <si>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</si>
  <si>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</si>
  <si>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</si>
  <si>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</si>
  <si>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</si>
  <si>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</si>
  <si>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</si>
  <si>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</si>
  <si>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</si>
  <si>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</si>
  <si>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</si>
  <si>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</si>
  <si>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</si>
  <si>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</si>
  <si>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</si>
  <si>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</si>
  <si>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</si>
  <si>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</si>
  <si>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</si>
  <si>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</si>
  <si>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</si>
  <si>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</si>
  <si>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</si>
  <si>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</si>
  <si>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</si>
  <si>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</si>
  <si>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</si>
  <si>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</si>
  <si>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</si>
  <si>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</si>
  <si>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</si>
  <si>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</si>
  <si>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</si>
  <si>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</si>
  <si>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</si>
  <si>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</si>
  <si>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</si>
  <si>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</si>
  <si>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</si>
  <si>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</si>
  <si>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</si>
  <si>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</si>
  <si>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</si>
  <si>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</si>
  <si>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</si>
  <si>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</si>
  <si>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</si>
  <si>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</si>
  <si>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</si>
  <si>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</si>
  <si>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</si>
  <si>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</si>
  <si>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</si>
  <si>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</si>
  <si>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</si>
  <si>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</si>
  <si>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</si>
  <si>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</si>
  <si>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</si>
  <si>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</si>
  <si>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</si>
  <si>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</si>
  <si>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</si>
  <si>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</si>
  <si>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</si>
  <si>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</si>
  <si>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</si>
  <si>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</si>
  <si>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</si>
  <si>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</si>
  <si>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</si>
  <si>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</si>
  <si>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</si>
  <si>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</si>
  <si>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</si>
  <si>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</si>
  <si>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</si>
  <si>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</si>
  <si>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</si>
  <si>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</si>
  <si>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</si>
  <si>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</si>
  <si>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</si>
  <si>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</si>
  <si>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</si>
  <si>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</si>
  <si>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</si>
  <si>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</si>
  <si>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</si>
  <si>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</si>
  <si>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</si>
  <si>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</si>
  <si>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</si>
  <si>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</si>
  <si>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</si>
  <si>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</si>
  <si>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</si>
  <si>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</si>
  <si>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</si>
  <si>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</si>
  <si>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</si>
  <si>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</si>
  <si>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</si>
  <si>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</si>
  <si>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</si>
  <si>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</si>
  <si>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</si>
  <si>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</si>
  <si>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</si>
  <si>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</si>
  <si>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</si>
  <si>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</si>
  <si>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</si>
  <si>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</si>
  <si>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</si>
  <si>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</si>
  <si>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</si>
  <si>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</si>
  <si>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</si>
  <si>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</si>
  <si>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</si>
  <si>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</si>
  <si>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</si>
  <si>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</si>
  <si>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</si>
  <si>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</si>
  <si>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</si>
  <si>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</si>
  <si>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</si>
  <si>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</si>
  <si>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</si>
  <si>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</si>
  <si>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</si>
  <si>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</si>
  <si>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</si>
  <si>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</si>
  <si>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</si>
  <si>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</si>
  <si>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</si>
  <si>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</si>
  <si>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</si>
  <si>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</si>
  <si>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</si>
  <si>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</si>
  <si>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</si>
  <si>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</si>
  <si>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</si>
  <si>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</si>
  <si>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</si>
  <si>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</si>
  <si>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</si>
  <si>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</si>
  <si>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</si>
  <si>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</si>
  <si>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</si>
  <si>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</si>
  <si>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</si>
  <si>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</si>
  <si>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</si>
  <si>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</si>
  <si>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</si>
  <si>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</si>
  <si>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</si>
  <si>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</si>
  <si>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</si>
  <si>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</si>
  <si>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</si>
  <si>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</si>
  <si>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</si>
  <si>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</si>
  <si>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</si>
  <si>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</si>
  <si>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</si>
  <si>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</si>
  <si>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</si>
  <si>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</si>
  <si>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</si>
  <si>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</si>
  <si>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</si>
  <si>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</si>
  <si>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</si>
  <si>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</si>
  <si>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</si>
  <si>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</si>
  <si>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</si>
  <si>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</si>
  <si>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</si>
  <si>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</si>
  <si>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</si>
  <si>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</si>
  <si>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</si>
  <si>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</si>
  <si>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</si>
  <si>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</si>
  <si>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</si>
  <si>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</si>
  <si>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</si>
  <si>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</si>
  <si>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</si>
  <si>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</si>
  <si>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</si>
  <si>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</si>
  <si>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</si>
  <si>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</si>
  <si>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</si>
  <si>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</si>
  <si>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</si>
  <si>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</si>
  <si>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</si>
  <si>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</si>
  <si>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</si>
  <si>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</si>
  <si>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</si>
  <si>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</si>
  <si>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</si>
  <si>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</si>
  <si>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</si>
  <si>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</si>
  <si>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</si>
  <si>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</si>
  <si>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</si>
  <si>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</si>
  <si>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</si>
  <si>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</si>
  <si>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</si>
  <si>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</si>
  <si>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</si>
  <si>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</si>
  <si>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</si>
  <si>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</si>
  <si>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</si>
  <si>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</si>
  <si>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</si>
  <si>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</si>
  <si>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</si>
  <si>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</si>
  <si>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</si>
  <si>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</si>
  <si>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</si>
  <si>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</si>
  <si>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</si>
  <si>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</si>
  <si>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</si>
  <si>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</si>
  <si>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</si>
  <si>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</si>
  <si>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</si>
  <si>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</si>
  <si>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</si>
  <si>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</si>
  <si>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</si>
  <si>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</si>
  <si>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</si>
  <si>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</si>
  <si>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</si>
  <si>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</si>
  <si>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</si>
  <si>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</si>
  <si>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</si>
  <si>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</si>
  <si>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</si>
  <si>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</si>
  <si>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</si>
  <si>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</si>
  <si>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</si>
  <si>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</si>
  <si>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</si>
  <si>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</si>
  <si>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</si>
  <si>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</si>
  <si>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</si>
  <si>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</si>
  <si>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</si>
  <si>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</si>
  <si>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</si>
  <si>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</si>
  <si>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</si>
  <si>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</si>
  <si>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</si>
  <si>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</si>
  <si>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</si>
  <si>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</si>
  <si>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</si>
  <si>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</si>
  <si>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</si>
  <si>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</si>
  <si>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</si>
  <si>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</si>
  <si>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</si>
  <si>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</si>
  <si>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</si>
  <si>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</si>
  <si>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</si>
  <si>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</si>
  <si>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</si>
  <si>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</si>
  <si>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</si>
  <si>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</si>
  <si>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</si>
  <si>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</si>
  <si>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</si>
  <si>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</si>
  <si>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</si>
  <si>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</si>
  <si>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</si>
  <si>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</si>
  <si>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</si>
  <si>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</si>
  <si>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</si>
  <si>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</si>
  <si>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</si>
  <si>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</si>
  <si>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</si>
  <si>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</si>
  <si>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</si>
  <si>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</si>
  <si>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</si>
  <si>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</si>
  <si>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</si>
  <si>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</si>
  <si>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</si>
  <si>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</si>
  <si>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</si>
  <si>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</si>
  <si>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</si>
  <si>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</si>
  <si>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</si>
  <si>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</si>
  <si>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</si>
  <si>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</si>
  <si>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</si>
  <si>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</si>
  <si>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</si>
  <si>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</si>
  <si>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</si>
  <si>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</si>
  <si>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</si>
  <si>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</si>
  <si>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</si>
  <si>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</si>
  <si>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</si>
  <si>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</si>
  <si>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</si>
  <si>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</si>
  <si>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</si>
  <si>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</si>
  <si>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</si>
  <si>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</si>
  <si>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</si>
  <si>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</si>
  <si>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</si>
  <si>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</si>
  <si>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</si>
  <si>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</si>
  <si>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</si>
  <si>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</si>
  <si>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</si>
  <si>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</si>
  <si>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</si>
  <si>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</si>
  <si>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</si>
  <si>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</si>
  <si>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</si>
  <si>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</si>
  <si>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</si>
  <si>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</si>
  <si>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</si>
  <si>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</si>
  <si>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</si>
  <si>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</si>
  <si>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</si>
  <si>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</si>
  <si>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</si>
  <si>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</si>
  <si>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</si>
  <si>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</si>
  <si>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</si>
  <si>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</si>
  <si>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</si>
  <si>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</si>
  <si>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</si>
  <si>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</si>
  <si>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</si>
  <si>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</si>
  <si>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</si>
  <si>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</si>
  <si>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</si>
  <si>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</si>
  <si>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</si>
  <si>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</si>
  <si>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</si>
  <si>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</si>
  <si>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</si>
  <si>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</si>
  <si>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</si>
  <si>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</si>
  <si>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</si>
  <si>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</si>
  <si>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</si>
  <si>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</si>
  <si>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</si>
  <si>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</si>
  <si>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</si>
  <si>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</si>
  <si>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</si>
  <si>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</si>
  <si>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</si>
  <si>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</si>
  <si>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</si>
  <si>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</si>
  <si>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</si>
  <si>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</si>
  <si>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</si>
  <si>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</si>
  <si>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</si>
  <si>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</si>
  <si>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</si>
  <si>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</si>
  <si>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</si>
  <si>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</si>
  <si>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</si>
  <si>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</si>
  <si>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</si>
  <si>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</si>
  <si>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</si>
  <si>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</si>
  <si>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</si>
  <si>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</si>
  <si>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</si>
  <si>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</si>
  <si>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</si>
  <si>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</si>
  <si>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</si>
  <si>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</si>
  <si>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</si>
  <si>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</si>
  <si>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</si>
  <si>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</si>
  <si>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</si>
  <si>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</si>
  <si>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</si>
  <si>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</si>
  <si>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</si>
  <si>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</si>
  <si>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</si>
  <si>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</si>
  <si>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</si>
  <si>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</si>
  <si>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</si>
  <si>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</si>
  <si>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</si>
  <si>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</si>
  <si>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</si>
  <si>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</si>
  <si>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</si>
  <si>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</si>
  <si>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</si>
  <si>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</si>
  <si>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</si>
  <si>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</si>
  <si>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</si>
  <si>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</si>
  <si>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</si>
  <si>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</si>
  <si>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</si>
  <si>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</si>
  <si>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</si>
  <si>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</si>
  <si>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</si>
  <si>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</si>
  <si>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</si>
  <si>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</si>
  <si>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</si>
  <si>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</si>
  <si>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</si>
  <si>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</si>
  <si>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</si>
  <si>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</si>
  <si>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</si>
  <si>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</si>
  <si>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</si>
  <si>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</si>
  <si>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</si>
  <si>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</si>
  <si>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</si>
  <si>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</si>
  <si>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</si>
  <si>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</si>
  <si>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</si>
  <si>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</si>
  <si>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</si>
  <si>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</si>
  <si>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</si>
  <si>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</si>
  <si>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</si>
  <si>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</si>
  <si>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</si>
  <si>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</si>
  <si>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</si>
  <si>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</si>
  <si>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</si>
  <si>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</si>
  <si>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</si>
  <si>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</si>
  <si>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</si>
  <si>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</si>
  <si>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</si>
  <si>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</si>
  <si>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</si>
  <si>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</si>
  <si>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</si>
  <si>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</si>
  <si>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</si>
  <si>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</si>
  <si>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</si>
  <si>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</si>
  <si>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</si>
  <si>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</si>
  <si>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</si>
  <si>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</si>
  <si>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</si>
  <si>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</si>
  <si>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</si>
  <si>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</si>
  <si>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</si>
  <si>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</si>
  <si>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</si>
  <si>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</si>
  <si>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</si>
  <si>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</si>
  <si>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</si>
  <si>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</si>
  <si>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</si>
  <si>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</si>
  <si>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</si>
  <si>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</si>
  <si>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</si>
  <si>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</si>
  <si>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</si>
  <si>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</si>
  <si>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</si>
  <si>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</si>
  <si>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</si>
  <si>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</si>
  <si>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</si>
  <si>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</si>
  <si>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</si>
  <si>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</si>
  <si>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</si>
  <si>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</si>
  <si>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</si>
  <si>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</si>
  <si>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</si>
  <si>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</si>
  <si>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</si>
  <si>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</si>
  <si>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</si>
  <si>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</si>
  <si>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</si>
  <si>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</si>
  <si>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</si>
  <si>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</si>
  <si>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</si>
  <si>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</si>
  <si>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</si>
  <si>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</si>
  <si>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</si>
  <si>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</si>
  <si>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</si>
  <si>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</si>
  <si>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</si>
  <si>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</si>
  <si>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</si>
  <si>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</si>
  <si>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</si>
  <si>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</si>
  <si>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</si>
  <si>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</si>
  <si>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</si>
  <si>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</si>
  <si>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</si>
  <si>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</si>
  <si>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</si>
  <si>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</si>
  <si>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</si>
  <si>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</si>
  <si>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</si>
  <si>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</si>
  <si>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</si>
  <si>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</si>
  <si>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</si>
  <si>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</si>
  <si>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</si>
  <si>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</si>
  <si>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</si>
  <si>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</si>
  <si>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</si>
  <si>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</si>
  <si>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</si>
  <si>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</si>
  <si>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</si>
  <si>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</si>
  <si>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</si>
  <si>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</si>
  <si>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</si>
  <si>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</si>
  <si>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</si>
  <si>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</si>
  <si>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</si>
  <si>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</si>
  <si>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</si>
  <si>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</si>
  <si>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</si>
  <si>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</si>
  <si>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</si>
  <si>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</si>
  <si>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</si>
  <si>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</si>
  <si>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</si>
  <si>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</si>
  <si>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</si>
  <si>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</si>
  <si>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</si>
  <si>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</si>
  <si>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</si>
  <si>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</si>
  <si>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</si>
  <si>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</si>
  <si>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</si>
  <si>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</si>
  <si>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</si>
  <si>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</si>
  <si>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</si>
  <si>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</si>
  <si>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</si>
  <si>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</si>
  <si>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</si>
  <si>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</si>
  <si>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</si>
  <si>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</si>
  <si>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</si>
  <si>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</si>
  <si>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</si>
  <si>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</si>
  <si>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</si>
  <si>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</si>
  <si>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</si>
  <si>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</si>
  <si>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</si>
  <si>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</si>
  <si>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</si>
  <si>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</si>
  <si>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</si>
  <si>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</si>
  <si>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</si>
  <si>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</si>
  <si>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</si>
  <si>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</si>
  <si>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</si>
  <si>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</si>
  <si>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</si>
  <si>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</si>
  <si>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</si>
  <si>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</si>
  <si>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</si>
  <si>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</si>
  <si>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</si>
  <si>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</si>
  <si>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</si>
  <si>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</si>
  <si>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</si>
  <si>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</si>
  <si>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</si>
  <si>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</si>
  <si>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</si>
  <si>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</si>
  <si>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</si>
  <si>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</si>
  <si>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</si>
  <si>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</si>
  <si>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</si>
  <si>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</si>
  <si>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</si>
  <si>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</si>
  <si>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</si>
  <si>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</si>
  <si>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</si>
  <si>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</si>
  <si>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</si>
  <si>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</si>
  <si>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</si>
  <si>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</si>
  <si>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</si>
  <si>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</si>
  <si>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</si>
  <si>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</si>
  <si>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</si>
  <si>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</si>
  <si>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</si>
  <si>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</si>
  <si>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</si>
  <si>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</si>
  <si>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</si>
  <si>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</si>
  <si>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</si>
  <si>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</si>
  <si>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</si>
  <si>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</si>
  <si>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</si>
  <si>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</si>
  <si>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</si>
  <si>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</si>
  <si>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</si>
  <si>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</si>
  <si>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</si>
  <si>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</si>
  <si>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</si>
  <si>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</si>
  <si>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</si>
  <si>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</si>
  <si>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</si>
  <si>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</si>
  <si>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</si>
  <si>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</si>
  <si>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</si>
  <si>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</si>
  <si>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</si>
  <si>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</si>
  <si>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</si>
  <si>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</si>
  <si>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</si>
  <si>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</si>
  <si>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</si>
  <si>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</si>
  <si>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</si>
  <si>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</si>
  <si>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</si>
  <si>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</si>
  <si>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</si>
  <si>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</si>
  <si>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</si>
  <si>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</si>
  <si>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</si>
  <si>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</si>
  <si>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</si>
  <si>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</si>
  <si>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</si>
  <si>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</si>
  <si>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</si>
  <si>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</si>
  <si>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</si>
  <si>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</si>
  <si>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</si>
  <si>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</si>
  <si>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</si>
  <si>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</si>
  <si>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</si>
  <si>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</si>
  <si>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</si>
  <si>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</si>
  <si>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</si>
  <si>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</si>
  <si>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</si>
  <si>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</si>
  <si>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</si>
  <si>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</si>
  <si>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</si>
  <si>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</si>
  <si>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</si>
  <si>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</si>
  <si>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</si>
  <si>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</si>
  <si>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</si>
  <si>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</si>
  <si>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</si>
  <si>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</si>
  <si>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</si>
  <si>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</si>
  <si>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</si>
  <si>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</si>
  <si>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</si>
  <si>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</si>
  <si>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</si>
  <si>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</si>
  <si>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</si>
  <si>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</si>
  <si>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</si>
  <si>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</si>
  <si>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</si>
  <si>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</si>
  <si>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</si>
  <si>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</si>
  <si>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</si>
  <si>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</si>
  <si>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</si>
  <si>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</si>
  <si>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</si>
  <si>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</si>
  <si>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</si>
  <si>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</si>
  <si>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</si>
  <si>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</si>
  <si>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</si>
  <si>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</si>
  <si>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</si>
  <si>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</si>
  <si>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</si>
  <si>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</si>
  <si>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</si>
  <si>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</si>
  <si>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</si>
  <si>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</si>
  <si>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</si>
  <si>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</si>
  <si>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</si>
  <si>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</si>
  <si>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</si>
  <si>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</si>
  <si>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</si>
  <si>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</si>
  <si>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</si>
  <si>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</si>
  <si>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</si>
  <si>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</si>
  <si>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</si>
  <si>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</si>
  <si>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</si>
  <si>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</si>
  <si>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</si>
  <si>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</si>
  <si>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</si>
  <si>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</si>
  <si>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</si>
  <si>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</si>
  <si>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</si>
  <si>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</si>
  <si>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</si>
  <si>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</si>
  <si>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</si>
  <si>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</si>
  <si>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</si>
  <si>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</si>
  <si>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</si>
  <si>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</si>
  <si>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</si>
  <si>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</si>
  <si>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</si>
  <si>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</si>
  <si>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</si>
  <si>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</si>
  <si>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</si>
  <si>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</si>
  <si>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</si>
  <si>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</si>
  <si>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</si>
  <si>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</si>
  <si>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</si>
  <si>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</si>
  <si>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</si>
  <si>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</si>
  <si>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</si>
  <si>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</si>
  <si>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</si>
  <si>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</si>
  <si>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</si>
  <si>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</si>
  <si>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</si>
  <si>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</si>
  <si>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</si>
  <si>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</si>
  <si>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</si>
  <si>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</si>
  <si>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</si>
  <si>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</si>
  <si>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</si>
  <si>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</si>
  <si>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</si>
  <si>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</si>
  <si>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</si>
  <si>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</si>
  <si>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</si>
  <si>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</si>
  <si>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</si>
  <si>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</si>
  <si>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</si>
  <si>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</si>
  <si>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</si>
  <si>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</si>
  <si>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</si>
  <si>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</si>
  <si>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</si>
  <si>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</si>
  <si>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</si>
  <si>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</si>
  <si>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</si>
  <si>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</si>
  <si>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</si>
  <si>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</si>
  <si>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</si>
  <si>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</si>
  <si>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</si>
  <si>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</si>
  <si>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</si>
  <si>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</si>
  <si>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</si>
  <si>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</si>
  <si>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</si>
  <si>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</si>
  <si>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</si>
  <si>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</si>
  <si>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</si>
  <si>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</si>
  <si>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</si>
  <si>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</si>
  <si>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</si>
  <si>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</si>
  <si>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</si>
  <si>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</si>
  <si>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</si>
  <si>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</si>
  <si>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</si>
  <si>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</si>
  <si>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</si>
  <si>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</si>
  <si>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</si>
  <si>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</si>
  <si>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</si>
  <si>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</si>
  <si>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</si>
  <si>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</si>
  <si>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</si>
  <si>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</si>
  <si>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</si>
  <si>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</si>
  <si>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</si>
  <si>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</si>
  <si>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</si>
  <si>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</si>
  <si>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</si>
  <si>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</si>
  <si>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</si>
  <si>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</si>
  <si>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</si>
  <si>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</si>
  <si>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</si>
  <si>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</si>
  <si>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</si>
  <si>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</si>
  <si>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</si>
  <si>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</si>
  <si>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</si>
  <si>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</si>
  <si>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</si>
  <si>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</si>
  <si>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</si>
  <si>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</si>
  <si>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</si>
  <si>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</si>
  <si>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</si>
  <si>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</si>
  <si>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</si>
  <si>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</si>
  <si>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</si>
  <si>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</si>
  <si>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</si>
  <si>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</si>
  <si>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</si>
  <si>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</si>
  <si>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</si>
  <si>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</si>
  <si>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</si>
  <si>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</si>
  <si>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</si>
  <si>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</si>
  <si>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</si>
  <si>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</si>
  <si>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</si>
  <si>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</si>
  <si>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</si>
  <si>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</si>
  <si>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</si>
  <si>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</si>
  <si>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</si>
  <si>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</si>
  <si>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</si>
  <si>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</si>
  <si>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</si>
  <si>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</si>
  <si>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</si>
  <si>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</si>
  <si>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</si>
  <si>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</si>
  <si>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</si>
  <si>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</si>
  <si>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</si>
  <si>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</si>
  <si>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</si>
  <si>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</si>
  <si>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</si>
  <si>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</si>
  <si>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</si>
  <si>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</si>
  <si>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</si>
  <si>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</si>
  <si>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</si>
  <si>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</si>
  <si>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</si>
  <si>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</si>
  <si>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</si>
  <si>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</si>
  <si>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</si>
  <si>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</si>
  <si>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</si>
  <si>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</si>
  <si>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</si>
  <si>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</si>
  <si>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</si>
  <si>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</si>
  <si>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</si>
  <si>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</si>
  <si>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</si>
  <si>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</si>
  <si>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</si>
  <si>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</si>
  <si>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</si>
  <si>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</si>
  <si>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</si>
  <si>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</si>
  <si>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</si>
  <si>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</si>
  <si>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</si>
  <si>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</si>
  <si>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</si>
  <si>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</si>
  <si>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</si>
  <si>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</si>
  <si>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</si>
  <si>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</si>
  <si>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</si>
  <si>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</si>
  <si>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</si>
  <si>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</si>
  <si>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</si>
  <si>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</si>
  <si>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</si>
  <si>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</si>
  <si>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</si>
  <si>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</si>
  <si>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</si>
  <si>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</si>
  <si>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</si>
  <si>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</si>
  <si>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</si>
  <si>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</si>
  <si>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</si>
  <si>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</si>
  <si>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</si>
  <si>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</si>
  <si>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</si>
  <si>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</si>
  <si>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</si>
  <si>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</si>
  <si>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</si>
  <si>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</si>
  <si>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</si>
  <si>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</si>
  <si>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</si>
  <si>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</si>
  <si>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</si>
  <si>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</si>
  <si>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</si>
  <si>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</si>
  <si>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</si>
  <si>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</si>
  <si>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</si>
  <si>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</si>
  <si>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</si>
  <si>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</si>
  <si>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</si>
  <si>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</si>
  <si>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</si>
  <si>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</si>
  <si>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</si>
  <si>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</si>
  <si>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</si>
  <si>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</si>
  <si>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</si>
  <si>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</si>
  <si>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</si>
  <si>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</si>
  <si>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</si>
  <si>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</si>
  <si>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</si>
  <si>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</si>
  <si>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</si>
  <si>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</si>
  <si>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</si>
  <si>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</si>
  <si>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</si>
  <si>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</si>
  <si>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</si>
  <si>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</si>
  <si>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</si>
  <si>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</si>
  <si>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</si>
  <si>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</si>
  <si>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</si>
  <si>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</si>
  <si>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</si>
  <si>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</si>
  <si>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</si>
  <si>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</si>
  <si>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</si>
  <si>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</si>
  <si>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</si>
  <si>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</si>
  <si>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</si>
  <si>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</si>
  <si>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</si>
  <si>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</si>
  <si>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</si>
  <si>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</si>
  <si>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</si>
  <si>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</si>
  <si>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</si>
  <si>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</si>
  <si>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</si>
  <si>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</si>
  <si>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</si>
  <si>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</si>
  <si>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</si>
  <si>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</si>
  <si>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</si>
  <si>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</si>
  <si>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</si>
  <si>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</si>
  <si>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</si>
  <si>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</si>
  <si>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</si>
  <si>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</si>
  <si>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</si>
  <si>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</si>
  <si>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</si>
  <si>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</si>
  <si>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</si>
  <si>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</si>
  <si>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</si>
  <si>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</si>
  <si>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</si>
  <si>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</si>
  <si>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</si>
  <si>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</si>
  <si>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</si>
  <si>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</si>
  <si>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</si>
  <si>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</si>
  <si>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</si>
  <si>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</si>
  <si>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</si>
  <si>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</si>
  <si>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</si>
  <si>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</si>
  <si>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</si>
  <si>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</si>
  <si>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</si>
  <si>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</si>
  <si>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</si>
  <si>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</si>
  <si>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</si>
  <si>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</si>
  <si>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</si>
  <si>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</si>
  <si>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</si>
  <si>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</si>
  <si>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</si>
  <si>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</si>
  <si>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</si>
  <si>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</si>
  <si>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</si>
  <si>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</si>
  <si>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</si>
  <si>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</si>
  <si>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</si>
  <si>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</si>
  <si>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</si>
  <si>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</si>
  <si>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</si>
  <si>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</si>
  <si>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</si>
  <si>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</si>
  <si>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</si>
  <si>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</si>
  <si>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</si>
  <si>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</si>
  <si>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</si>
  <si>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</si>
  <si>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</si>
  <si>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</si>
  <si>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</si>
  <si>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</si>
  <si>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</si>
  <si>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</si>
  <si>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</si>
  <si>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</si>
  <si>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</si>
  <si>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</si>
  <si>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</si>
  <si>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</si>
  <si>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</si>
  <si>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</si>
  <si>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</si>
  <si>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</si>
  <si>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</si>
  <si>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</si>
  <si>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</si>
  <si>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</si>
  <si>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</si>
  <si>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</si>
  <si>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</si>
  <si>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</si>
  <si>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</si>
  <si>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</si>
  <si>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</si>
  <si>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</si>
  <si>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</si>
  <si>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</si>
  <si>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</si>
  <si>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</si>
  <si>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</si>
  <si>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</si>
  <si>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</si>
  <si>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</si>
  <si>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</si>
  <si>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</si>
  <si>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</si>
  <si>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</si>
  <si>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</si>
  <si>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</si>
  <si>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</si>
  <si>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</si>
  <si>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</si>
  <si>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</si>
  <si>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</si>
  <si>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</si>
  <si>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</si>
  <si>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</si>
  <si>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</si>
  <si>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</si>
  <si>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</si>
  <si>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</si>
  <si>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</si>
  <si>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</si>
  <si>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</si>
  <si>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</si>
  <si>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</si>
  <si>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</si>
  <si>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</si>
  <si>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</si>
  <si>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</si>
  <si>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</si>
  <si>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</si>
  <si>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</si>
  <si>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</si>
  <si>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</si>
  <si>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</si>
  <si>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</si>
  <si>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</si>
  <si>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</si>
  <si>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</si>
  <si>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</si>
  <si>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</si>
  <si>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</si>
  <si>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</si>
  <si>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</si>
  <si>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</si>
  <si>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</si>
  <si>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</si>
  <si>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</si>
  <si>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</si>
  <si>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</si>
  <si>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</si>
  <si>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</si>
  <si>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</si>
  <si>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</si>
  <si>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</si>
  <si>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</si>
  <si>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</si>
  <si>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</si>
  <si>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</si>
  <si>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</si>
  <si>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</si>
  <si>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</si>
  <si>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</si>
  <si>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</si>
  <si>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</si>
  <si>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</si>
  <si>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</si>
  <si>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</si>
  <si>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</si>
  <si>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</si>
  <si>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</si>
  <si>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</si>
  <si>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</si>
  <si>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</si>
  <si>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</si>
  <si>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</si>
  <si>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</si>
  <si>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</si>
  <si>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</si>
  <si>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</si>
  <si>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</si>
  <si>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</si>
  <si>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</si>
  <si>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</si>
  <si>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</si>
  <si>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</si>
  <si>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</si>
  <si>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</si>
  <si>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</si>
  <si>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</si>
  <si>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</si>
  <si>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</si>
  <si>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</si>
  <si>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</si>
  <si>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</si>
  <si>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</si>
  <si>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</si>
  <si>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</si>
  <si>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</si>
  <si>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</si>
  <si>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</si>
  <si>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</si>
  <si>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</si>
  <si>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</si>
  <si>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</si>
  <si>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</si>
  <si>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</si>
  <si>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</si>
  <si>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</si>
  <si>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</si>
  <si>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</si>
  <si>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</si>
  <si>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</si>
  <si>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</si>
  <si>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</si>
  <si>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</si>
  <si>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</si>
  <si>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</si>
  <si>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</si>
  <si>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</si>
  <si>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</si>
  <si>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</si>
  <si>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</si>
  <si>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</si>
  <si>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</si>
  <si>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</si>
  <si>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</si>
  <si>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</si>
  <si>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</si>
  <si>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</si>
  <si>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</si>
  <si>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</si>
  <si>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</si>
  <si>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</si>
  <si>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</si>
  <si>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</si>
  <si>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</si>
  <si>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</si>
  <si>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</si>
  <si>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</si>
  <si>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</si>
  <si>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</si>
  <si>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</si>
  <si>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</si>
  <si>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</si>
  <si>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</si>
  <si>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</si>
  <si>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</si>
  <si>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</si>
  <si>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</si>
  <si>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</si>
  <si>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</si>
  <si>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</si>
  <si>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</si>
  <si>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</si>
  <si>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</si>
  <si>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</si>
  <si>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</si>
  <si>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</si>
  <si>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</si>
  <si>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</si>
  <si>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</si>
  <si>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</si>
  <si>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</si>
  <si>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</si>
  <si>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</si>
  <si>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</si>
  <si>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</si>
  <si>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</si>
  <si>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</si>
  <si>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</si>
  <si>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</si>
  <si>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</si>
  <si>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</si>
  <si>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</si>
  <si>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</si>
  <si>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</si>
  <si>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</si>
  <si>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</si>
  <si>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</si>
  <si>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</si>
  <si>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</si>
  <si>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</si>
  <si>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</si>
  <si>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</si>
  <si>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</si>
  <si>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</si>
  <si>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</si>
  <si>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</si>
  <si>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</si>
  <si>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</si>
  <si>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</si>
  <si>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</si>
  <si>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</si>
  <si>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</si>
  <si>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</si>
  <si>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</si>
  <si>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</si>
  <si>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</si>
  <si>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</si>
  <si>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</si>
  <si>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</si>
  <si>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</si>
  <si>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</si>
  <si>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</si>
  <si>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</si>
  <si>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</si>
  <si>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</si>
  <si>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</si>
  <si>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</si>
  <si>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</si>
  <si>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</si>
  <si>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</si>
  <si>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</si>
  <si>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</si>
  <si>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</si>
  <si>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</si>
  <si>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</si>
  <si>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</si>
  <si>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</si>
  <si>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</si>
  <si>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</si>
  <si>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</si>
  <si>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</si>
  <si>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</si>
  <si>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</si>
  <si>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</si>
  <si>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</si>
  <si>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</si>
  <si>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</si>
  <si>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</si>
  <si>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</si>
  <si>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</si>
  <si>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</si>
  <si>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</si>
  <si>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</si>
  <si>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</si>
  <si>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</si>
  <si>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</si>
  <si>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</si>
  <si>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</si>
  <si>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</si>
  <si>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</si>
  <si>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</si>
  <si>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</si>
  <si>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</si>
  <si>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</si>
  <si>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</si>
  <si>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</si>
  <si>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</si>
  <si>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</si>
  <si>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</si>
  <si>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</si>
  <si>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</si>
  <si>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</si>
  <si>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</si>
  <si>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</si>
  <si>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</si>
  <si>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</si>
  <si>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</si>
  <si>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</si>
  <si>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</si>
  <si>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</si>
  <si>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</si>
  <si>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</si>
  <si>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</si>
  <si>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</si>
  <si>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</si>
  <si>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</si>
  <si>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</si>
  <si>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</si>
  <si>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</si>
  <si>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</si>
  <si>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</si>
  <si>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</si>
  <si>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</si>
  <si>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</si>
  <si>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</si>
  <si>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</si>
  <si>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</si>
  <si>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</si>
  <si>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</si>
  <si>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</si>
  <si>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</si>
  <si>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</si>
  <si>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</si>
  <si>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</si>
  <si>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</si>
  <si>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</si>
  <si>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</si>
  <si>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</si>
  <si>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</si>
  <si>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</si>
  <si>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</si>
  <si>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</si>
  <si>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</si>
  <si>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</si>
  <si>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</si>
  <si>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</si>
  <si>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</si>
  <si>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</si>
  <si>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</si>
  <si>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</si>
  <si>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</si>
  <si>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</si>
  <si>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</si>
  <si>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</si>
  <si>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</si>
  <si>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</si>
  <si>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</si>
  <si>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</si>
  <si>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</si>
  <si>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</si>
  <si>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</si>
  <si>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</si>
  <si>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</si>
  <si>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</si>
  <si>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</si>
  <si>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</si>
  <si>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</si>
  <si>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</si>
  <si>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</si>
  <si>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</si>
  <si>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</si>
  <si>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</si>
  <si>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</si>
  <si>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</si>
  <si>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</si>
  <si>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</si>
  <si>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</si>
  <si>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</si>
  <si>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</si>
  <si>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</si>
  <si>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r>
      <t>Sumário Executivo</t>
    </r>
    <r>
      <rPr>
        <b/>
        <sz val="14"/>
        <color theme="4"/>
        <rFont val="Santander Text"/>
        <family val="2"/>
      </rPr>
      <t xml:space="preserve"> |</t>
    </r>
    <r>
      <rPr>
        <b/>
        <sz val="11"/>
        <color theme="4"/>
        <rFont val="Santander Text"/>
        <family val="2"/>
      </rPr>
      <t>31 de outubro a 08 de novembro</t>
    </r>
  </si>
  <si>
    <t>Validação EF</t>
  </si>
  <si>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</si>
  <si>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</si>
  <si>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</si>
  <si>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</si>
  <si>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</si>
  <si>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</si>
  <si>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</si>
  <si>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</si>
  <si>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</si>
  <si>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</si>
  <si>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</si>
  <si>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</si>
  <si>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</si>
  <si>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</si>
  <si>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</si>
  <si>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</si>
  <si>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</si>
  <si>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</si>
  <si>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</si>
  <si>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</si>
  <si>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</si>
  <si>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</si>
  <si>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</si>
  <si>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</si>
  <si>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</si>
  <si>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</si>
  <si>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</si>
  <si>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</si>
  <si>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</si>
  <si>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</si>
  <si>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</si>
  <si>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</si>
  <si>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</si>
  <si>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</si>
  <si>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</si>
  <si>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</si>
  <si>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</si>
  <si>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</si>
  <si>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</si>
  <si>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</si>
  <si>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</si>
  <si>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</si>
  <si>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</si>
  <si>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</si>
  <si>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</si>
  <si>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</si>
  <si>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</si>
  <si>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</si>
  <si>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</si>
  <si>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</si>
  <si>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</si>
  <si>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</si>
  <si>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</si>
  <si>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</si>
  <si>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</si>
  <si>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</si>
  <si>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</si>
  <si>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</si>
  <si>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</si>
  <si>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</si>
  <si>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</si>
  <si>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</si>
  <si>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</si>
  <si>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</si>
  <si>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</si>
  <si>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</si>
  <si>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</si>
  <si>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</si>
  <si>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</si>
  <si>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</si>
  <si>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</si>
  <si>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Em validação de regra de escolha de registo OCR com João Almeida</t>
  </si>
  <si>
    <t>Apenas será possível testar 3 campos. Os restantes estão pendenetes de outros desenvolvimentos</t>
  </si>
  <si>
    <t>Entrega #5 (Re-especificação)</t>
  </si>
  <si>
    <t>Entrega #4 (Re-especificação)</t>
  </si>
  <si>
    <t>Campo cgarant_bem adicionado à tabela</t>
  </si>
  <si>
    <t>Reportadas incidências</t>
  </si>
  <si>
    <t>Re-especificação sobre campo ISIN</t>
  </si>
  <si>
    <t>Re-especificação sobre campos de scopes sobre tipo de propriedade</t>
  </si>
  <si>
    <t>Re-especificação com base num novo campo do MBI</t>
  </si>
  <si>
    <t>Re-especificação sobre campos de scopes sobre veiculos</t>
  </si>
  <si>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</si>
  <si>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 xml:space="preserve">1. Iniciados os testes à tabela de Output de Certificados Energéticos com uma incidência reportada. Aguardamos </t>
    </r>
    <r>
      <rPr>
        <i/>
        <sz val="12"/>
        <color theme="1"/>
        <rFont val="Santander Text"/>
        <family val="2"/>
      </rPr>
      <t>feedback</t>
    </r>
    <r>
      <rPr>
        <sz val="12"/>
        <color theme="1"/>
        <rFont val="Santander Text"/>
        <family val="2"/>
      </rPr>
      <t xml:space="preserve"> do João Almeida.
2. Testes aos 8 campos da tabela de Bens Imóveis do Modelo Verde, tendo sido concluídos 2 campos.  Adicionalmente, houve a entrega das atualizações das tabelas de Input e de Parametrização do Modelo Verde pela equipa de Tecnologia
3. Foram concluídas as re-especificações dos campos do Pilar III. Adicionalmente, foram entregues 36 campos pela equipa de Tecnologia. Foi concluído um campo.</t>
    </r>
  </si>
  <si>
    <r>
      <t>1</t>
    </r>
    <r>
      <rPr>
        <b/>
        <sz val="11"/>
        <color theme="1" tint="4.9989318521683403E-2"/>
        <rFont val="Santander Text"/>
        <family val="2"/>
      </rPr>
      <t xml:space="preserve">. Iniciámos a simulação da tabela Protection.
</t>
    </r>
    <r>
      <rPr>
        <sz val="11"/>
        <color theme="1" tint="4.9989318521683403E-2"/>
        <rFont val="Santander Text"/>
        <family val="2"/>
      </rPr>
      <t>2.</t>
    </r>
    <r>
      <rPr>
        <b/>
        <sz val="11"/>
        <color theme="1" tint="4.9989318521683403E-2"/>
        <rFont val="Santander Text"/>
        <family val="2"/>
      </rPr>
      <t xml:space="preserve"> Foi realizada a sessão de validação com o LCM e fechadas as re-especificações.</t>
    </r>
    <r>
      <rPr>
        <sz val="11"/>
        <color theme="1" tint="4.9989318521683403E-2"/>
        <rFont val="Santander Text"/>
        <family val="2"/>
      </rPr>
      <t xml:space="preserve">
</t>
    </r>
    <r>
      <rPr>
        <sz val="11"/>
        <rFont val="Santander Text"/>
        <family val="2"/>
      </rPr>
      <t xml:space="preserve">
3.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e Rácios de eligibilidade: 15/11 (5 campos)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Tabela Parametrização (lt827_mthd_usd_instrmnt): 15/11</t>
    </r>
    <r>
      <rPr>
        <sz val="11"/>
        <color theme="1" tint="4.9989318521683403E-2"/>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</si>
</sst>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6"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8"/>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i/>
      <sz val="12"/>
      <color theme="1"/>
      <name val="Santander Text"/>
      <family val="2"/>
    </font>
  </fonts>
  <fills count="2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20">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60" fillId="0" borderId="0" xfId="0" applyFont="1"/>
    <xf numFmtId="0" fontId="0" fillId="20" borderId="0" xfId="0" applyFill="1"/>
    <xf numFmtId="0" fontId="61"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61" fillId="7" borderId="0" xfId="0" applyFont="1" applyFill="1"/>
    <xf numFmtId="0" fontId="61"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61"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2" fillId="16" borderId="25" xfId="0" applyFont="1" applyFill="1" applyBorder="1" applyAlignment="1">
      <alignment vertical="center"/>
    </xf>
    <xf numFmtId="0" fontId="62"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3"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3"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14" fontId="28" fillId="0" borderId="32" xfId="0" applyNumberFormat="1" applyFont="1" applyBorder="1" applyAlignment="1">
      <alignment horizontal="center"/>
    </xf>
    <xf numFmtId="9" fontId="28" fillId="0" borderId="32" xfId="1" applyFont="1" applyBorder="1" applyAlignment="1">
      <alignment horizontal="center" vertical="center"/>
    </xf>
    <xf numFmtId="0" fontId="28" fillId="0" borderId="25" xfId="0" applyFont="1" applyBorder="1"/>
    <xf numFmtId="14" fontId="63" fillId="0" borderId="32" xfId="0" applyNumberFormat="1" applyFont="1" applyBorder="1" applyAlignment="1">
      <alignment horizontal="center"/>
    </xf>
    <xf numFmtId="9" fontId="28" fillId="0" borderId="32" xfId="1" applyFont="1" applyFill="1" applyBorder="1" applyAlignment="1">
      <alignment horizontal="center" vertical="center"/>
    </xf>
    <xf numFmtId="0" fontId="64" fillId="0" borderId="0" xfId="0" applyFont="1"/>
    <xf numFmtId="9" fontId="29" fillId="0" borderId="32" xfId="1" applyFont="1" applyBorder="1" applyAlignment="1">
      <alignment horizontal="left" vertical="center"/>
    </xf>
    <xf numFmtId="0" fontId="43" fillId="0" borderId="0" xfId="0" applyFont="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cellXfs>
  <cellStyles count="4">
    <cellStyle name="Normal" xfId="0" builtinId="0"/>
    <cellStyle name="Normal 2" xfId="3" xr:uid="{00000000-0005-0000-0000-000001000000}"/>
    <cellStyle name="Normal 3" xfId="2" xr:uid="{00000000-0005-0000-0000-000002000000}"/>
    <cellStyle name="Percent" xfId="1" builtinId="5"/>
  </cellStyles>
  <dxfs count="210">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trabalho_V2.31.xlsx]Aux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16</c:v>
                </c:pt>
                <c:pt idx="4">
                  <c:v>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12</c:v>
                </c:pt>
                <c:pt idx="2">
                  <c:v>7</c:v>
                </c:pt>
                <c:pt idx="3">
                  <c:v>30</c:v>
                </c:pt>
                <c:pt idx="4">
                  <c:v>4</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2.1 Em Teste</c:v>
                </c:pt>
                <c:pt idx="3">
                  <c:v>6. Em implementação (re-especificação)</c:v>
                </c:pt>
              </c:strCache>
            </c:strRef>
          </c:cat>
          <c:val>
            <c:numRef>
              <c:f>'Aux - Pivots2'!$C$73:$C$77</c:f>
              <c:numCache>
                <c:formatCode>General</c:formatCode>
                <c:ptCount val="4"/>
                <c:pt idx="0">
                  <c:v>14</c:v>
                </c:pt>
                <c:pt idx="1">
                  <c:v>156</c:v>
                </c:pt>
                <c:pt idx="2">
                  <c:v>22</c:v>
                </c:pt>
                <c:pt idx="3">
                  <c:v>53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3</c:v>
                </c:pt>
                <c:pt idx="2">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24</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6</c:v>
                </c:pt>
                <c:pt idx="1">
                  <c:v>7</c:v>
                </c:pt>
                <c:pt idx="2">
                  <c:v>17</c:v>
                </c:pt>
                <c:pt idx="5">
                  <c:v>4</c:v>
                </c:pt>
                <c:pt idx="7">
                  <c:v>15</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49</c:v>
                </c:pt>
                <c:pt idx="2">
                  <c:v>26</c:v>
                </c:pt>
                <c:pt idx="3">
                  <c:v>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04.75003275463" backgroundQuery="1" createdVersion="8" refreshedVersion="6" minRefreshableVersion="3" recordCount="0" supportSubquery="1" supportAdvancedDrill="1" xr:uid="{00000000-000A-0000-FFFF-FFFF9600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04.75004027778" backgroundQuery="1" createdVersion="8" refreshedVersion="6" minRefreshableVersion="3" recordCount="0" supportSubquery="1" supportAdvancedDrill="1" xr:uid="{00000000-000A-0000-FFFF-FFFF99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04.750042129628" backgroundQuery="1" createdVersion="8" refreshedVersion="6" minRefreshableVersion="3" recordCount="0" supportSubquery="1" supportAdvancedDrill="1" xr:uid="{00000000-000A-0000-FFFF-FFFF9C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4. Validação EF"/>
        <s v="6. Em implementação (re-especificação)"/>
        <s v="2.1 Em Teste"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04.750043981483" backgroundQuery="1" createdVersion="8" refreshedVersion="6" minRefreshableVersion="3" recordCount="0" supportSubquery="1" supportAdvancedDrill="1" xr:uid="{00000000-000A-0000-FFFF-FFFF9F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04.750045717592" backgroundQuery="1" createdVersion="8" refreshedVersion="6" minRefreshableVersion="3" recordCount="0" supportSubquery="1" supportAdvancedDrill="1" xr:uid="{00000000-000A-0000-FFFF-FFFFA2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04.750047453701" backgroundQuery="1" createdVersion="8" refreshedVersion="6" minRefreshableVersion="3" recordCount="0" supportSubquery="1" supportAdvancedDrill="1" xr:uid="{00000000-000A-0000-FFFF-FFFFA5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04.750049305556" backgroundQuery="1" createdVersion="8" refreshedVersion="6" minRefreshableVersion="3" recordCount="0" supportSubquery="1" supportAdvancedDrill="1" xr:uid="{00000000-000A-0000-FFFF-FFFFA8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9"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0"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2"/>
        <item x="4"/>
        <item x="1"/>
      </items>
    </pivotField>
    <pivotField dataField="1" subtotalTop="0" showAll="0" defaultSubtotal="0"/>
  </pivotFields>
  <rowFields count="1">
    <field x="3"/>
  </rowFields>
  <rowItems count="5">
    <i>
      <x/>
    </i>
    <i>
      <x v="1"/>
    </i>
    <i>
      <x v="2"/>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8"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5">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7"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574" totalsRowShown="0" headerRowDxfId="209" tableBorderDxfId="208">
  <autoFilter ref="B6:N574" xr:uid="{00000000-0009-0000-0100-000004000000}"/>
  <tableColumns count="13">
    <tableColumn id="1" xr3:uid="{00000000-0010-0000-0000-000001000000}" name="Âmbito" dataDxfId="207"/>
    <tableColumn id="2" xr3:uid="{00000000-0010-0000-0000-000002000000}" name="Sub-âmbito" dataDxfId="206"/>
    <tableColumn id="3" xr3:uid="{00000000-0010-0000-0000-000003000000}" name="Tipo de teste" dataDxfId="205"/>
    <tableColumn id="4" xr3:uid="{00000000-0010-0000-0000-000004000000}" name="Tabela" dataDxfId="204"/>
    <tableColumn id="5" xr3:uid="{00000000-0010-0000-0000-000005000000}" name="Campo" dataDxfId="203"/>
    <tableColumn id="6" xr3:uid="{00000000-0010-0000-0000-000006000000}" name="Status Atual" dataDxfId="202"/>
    <tableColumn id="7" xr3:uid="{00000000-0010-0000-0000-000007000000}" name="Status Anterior" dataDxfId="201"/>
    <tableColumn id="8" xr3:uid="{00000000-0010-0000-0000-000008000000}" name="Observações" dataDxfId="200"/>
    <tableColumn id="9" xr3:uid="{00000000-0010-0000-0000-000009000000}" name="Data de Pedido correção/esclarecimento" dataDxfId="199">
      <calculatedColumnFormula>IF(VLOOKUP(A7,'Aux - pivots1'!$A:$E,3,0)=0, "",VLOOKUP(A7,'Aux - pivots1'!$A:$E,3,0))</calculatedColumnFormula>
    </tableColumn>
    <tableColumn id="10" xr3:uid="{00000000-0010-0000-0000-00000A000000}" name="Data de correção prevista" dataDxfId="198">
      <calculatedColumnFormula>IF(VLOOKUP(A7,'Aux - pivots1'!$A:$E,4,0)=0, "",VLOOKUP(A7,'Aux - pivots1'!$A:$E,4,0))</calculatedColumnFormula>
    </tableColumn>
    <tableColumn id="11" xr3:uid="{00000000-0010-0000-0000-00000B000000}" name="Data de correção efetiva" dataDxfId="197">
      <calculatedColumnFormula>IF(VLOOKUP(A7,'Aux - pivots1'!$A:$E,5,0)=0, "",VLOOKUP(A7,'Aux - pivots1'!$A:$E,5,0))</calculatedColumnFormula>
    </tableColumn>
    <tableColumn id="12" xr3:uid="{00000000-0010-0000-0000-00000C000000}" name="Data Prevista de Re-especificação" dataDxfId="196"/>
    <tableColumn id="13" xr3:uid="{00000000-0010-0000-0000-00000D000000}" name="Data Prevista de Teste" dataDxfId="19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94" dataDxfId="192" totalsRowDxfId="190" headerRowBorderDxfId="193" tableBorderDxfId="191" totalsRowBorderDxfId="189">
  <autoFilter ref="B8:X1320" xr:uid="{00000000-0009-0000-0100-000001000000}">
    <filterColumn colId="1">
      <filters>
        <filter val="Modelo Verde - Output"/>
      </filters>
    </filterColumn>
    <filterColumn colId="4">
      <filters>
        <filter val="modesg_out_bens_imoveis"/>
      </filters>
    </filterColumn>
    <filterColumn colId="7">
      <filters>
        <filter val="5. Em Correção"/>
      </filters>
    </filterColumn>
  </autoFilter>
  <tableColumns count="23">
    <tableColumn id="1" xr3:uid="{00000000-0010-0000-0100-000001000000}" name="Âmbito" dataDxfId="188" totalsRowDxfId="187"/>
    <tableColumn id="12" xr3:uid="{00000000-0010-0000-0100-00000C000000}" name="Sub-âmbito" dataDxfId="186" totalsRowDxfId="185"/>
    <tableColumn id="2" xr3:uid="{00000000-0010-0000-0100-000002000000}" name="Origem" dataDxfId="184" totalsRowDxfId="183"/>
    <tableColumn id="18" xr3:uid="{00000000-0010-0000-0100-000012000000}" name="Campo Origem" dataDxfId="182" totalsRowDxfId="181"/>
    <tableColumn id="5" xr3:uid="{00000000-0010-0000-0100-000005000000}" name="Tabela" dataDxfId="180" totalsRowDxfId="179"/>
    <tableColumn id="3" xr3:uid="{00000000-0010-0000-0100-000003000000}" name="Campo" dataDxfId="178" totalsRowDxfId="177"/>
    <tableColumn id="20" xr3:uid="{00000000-0010-0000-0100-000014000000}" name="concat" dataDxfId="176" totalsRowDxfId="175">
      <calculatedColumnFormula>Table1[[#This Row],[Tabela]]&amp;Table1[[#This Row],[Campo]]</calculatedColumnFormula>
    </tableColumn>
    <tableColumn id="4" xr3:uid="{00000000-0010-0000-0100-000004000000}" name="Status" dataDxfId="174" totalsRowDxfId="173"/>
    <tableColumn id="19" xr3:uid="{00000000-0010-0000-0100-000013000000}" name="Status2" dataDxfId="172">
      <calculatedColumnFormula>VLOOKUP(Table1[[#This Row],[Status]],Auxiliar!$B$16:$C$24,2,0)</calculatedColumnFormula>
    </tableColumn>
    <tableColumn id="6" xr3:uid="{00000000-0010-0000-0100-000006000000}" name="Tipologia_Testes" dataDxfId="171" totalsRowDxfId="170"/>
    <tableColumn id="10" xr3:uid="{00000000-0010-0000-0100-00000A000000}" name="Necessidade de re-especificação? (campo)" dataDxfId="169" totalsRowDxfId="168"/>
    <tableColumn id="9" xr3:uid="{00000000-0010-0000-0100-000009000000}" name="Complexidade" dataDxfId="167" totalsRowDxfId="166"/>
    <tableColumn id="17" xr3:uid="{00000000-0010-0000-0100-000011000000}" name="Data de Alteração Status" dataDxfId="165" totalsRowDxfId="164"/>
    <tableColumn id="8" xr3:uid="{00000000-0010-0000-0100-000008000000}" name="Estimação (horas)" totalsRowFunction="custom" dataDxfId="163" totalsRowDxfId="16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61" totalsRowDxfId="160"/>
    <tableColumn id="11" xr3:uid="{00000000-0010-0000-0100-00000B000000}" name="Owner" dataDxfId="159" totalsRowDxfId="158"/>
    <tableColumn id="21" xr3:uid="{00000000-0010-0000-0100-000015000000}" name="Data alteração especificação" dataDxfId="157" totalsRowDxfId="156"/>
    <tableColumn id="13" xr3:uid="{00000000-0010-0000-0100-00000D000000}" name="Data de inicio testes" dataDxfId="155" totalsRowDxfId="154"/>
    <tableColumn id="14" xr3:uid="{00000000-0010-0000-0100-00000E000000}" name="Data de incidência / pedido esclarecimento" dataDxfId="153" totalsRowDxfId="152"/>
    <tableColumn id="15" xr3:uid="{00000000-0010-0000-0100-00000F000000}" name="Data de correção/resposta prevista" dataDxfId="151" totalsRowDxfId="150"/>
    <tableColumn id="22" xr3:uid="{00000000-0010-0000-0100-000016000000}" name="Data de correção/resposta efetiva" dataDxfId="149" totalsRowDxfId="148"/>
    <tableColumn id="23" xr3:uid="{00000000-0010-0000-0100-000017000000}" name="Horas efetivas" dataDxfId="147" totalsRowDxfId="146">
      <calculatedColumnFormula>VLOOKUP(Table1[[#This Row],[Status]],Auxiliar!$B$16:$D$24,3,0)*Table1[[#This Row],[Estimação (horas)]]</calculatedColumnFormula>
    </tableColumn>
    <tableColumn id="16" xr3:uid="{00000000-0010-0000-0100-000010000000}" name="Query" dataDxfId="145" totalsRowDxfId="1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182</v>
      </c>
      <c r="F199" s="65" t="s">
        <v>38</v>
      </c>
      <c r="G199" s="65" t="str">
        <f>INDEX(Auxiliar!$B$16:$B$24,MATCH(Plano_V1!H199,Auxiliar!$C$16:$C$24,0),1)</f>
        <v>2.1 Em Teste</v>
      </c>
      <c r="H199" s="65">
        <f>VLOOKUP(A199,'Aux - pivots1'!$A:$B,2,0)</f>
        <v>2</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182</v>
      </c>
      <c r="F208" s="65" t="s">
        <v>191</v>
      </c>
      <c r="G208" s="65" t="str">
        <f>INDEX(Auxiliar!$B$16:$B$24,MATCH(Plano_V1!H208,Auxiliar!$C$16:$C$24,0),1)</f>
        <v>2.1 Em Teste</v>
      </c>
      <c r="H208" s="65">
        <f>VLOOKUP(A208,'Aux - pivots1'!$A:$B,2,0)</f>
        <v>2</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182</v>
      </c>
      <c r="F209" s="65" t="s">
        <v>192</v>
      </c>
      <c r="G209" s="65" t="str">
        <f>INDEX(Auxiliar!$B$16:$B$24,MATCH(Plano_V1!H209,Auxiliar!$C$16:$C$24,0),1)</f>
        <v>2.1 Em Teste</v>
      </c>
      <c r="H209" s="65">
        <f>VLOOKUP(A209,'Aux - pivots1'!$A:$B,2,0)</f>
        <v>2</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182</v>
      </c>
      <c r="F210" s="65" t="s">
        <v>193</v>
      </c>
      <c r="G210" s="65" t="str">
        <f>INDEX(Auxiliar!$B$16:$B$24,MATCH(Plano_V1!H210,Auxiliar!$C$16:$C$24,0),1)</f>
        <v>2.1 Em Teste</v>
      </c>
      <c r="H210" s="65">
        <f>VLOOKUP(A210,'Aux - pivots1'!$A:$B,2,0)</f>
        <v>2</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182</v>
      </c>
      <c r="F211" s="65" t="s">
        <v>194</v>
      </c>
      <c r="G211" s="65" t="str">
        <f>INDEX(Auxiliar!$B$16:$B$24,MATCH(Plano_V1!H211,Auxiliar!$C$16:$C$24,0),1)</f>
        <v>2.1 Em Teste</v>
      </c>
      <c r="H211" s="65">
        <f>VLOOKUP(A211,'Aux - pivots1'!$A:$B,2,0)</f>
        <v>2</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182</v>
      </c>
      <c r="F212" s="65" t="s">
        <v>195</v>
      </c>
      <c r="G212" s="65" t="str">
        <f>INDEX(Auxiliar!$B$16:$B$24,MATCH(Plano_V1!H212,Auxiliar!$C$16:$C$24,0),1)</f>
        <v>2.1 Em Teste</v>
      </c>
      <c r="H212" s="65">
        <f>VLOOKUP(A212,'Aux - pivots1'!$A:$B,2,0)</f>
        <v>2</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182</v>
      </c>
      <c r="F216" s="65" t="s">
        <v>199</v>
      </c>
      <c r="G216" s="65" t="str">
        <f>INDEX(Auxiliar!$B$16:$B$24,MATCH(Plano_V1!H216,Auxiliar!$C$16:$C$24,0),1)</f>
        <v>2.1 Em Teste</v>
      </c>
      <c r="H216" s="65">
        <f>VLOOKUP(A216,'Aux - pivots1'!$A:$B,2,0)</f>
        <v>2</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182</v>
      </c>
      <c r="F217" s="65" t="s">
        <v>200</v>
      </c>
      <c r="G217" s="65" t="str">
        <f>INDEX(Auxiliar!$B$16:$B$24,MATCH(Plano_V1!H217,Auxiliar!$C$16:$C$24,0),1)</f>
        <v>2.1 Em Teste</v>
      </c>
      <c r="H217" s="65">
        <f>VLOOKUP(A217,'Aux - pivots1'!$A:$B,2,0)</f>
        <v>2</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182</v>
      </c>
      <c r="F218" s="65" t="s">
        <v>201</v>
      </c>
      <c r="G218" s="65" t="str">
        <f>INDEX(Auxiliar!$B$16:$B$24,MATCH(Plano_V1!H218,Auxiliar!$C$16:$C$24,0),1)</f>
        <v>2.1 Em Teste</v>
      </c>
      <c r="H218" s="65">
        <f>VLOOKUP(A218,'Aux - pivots1'!$A:$B,2,0)</f>
        <v>2</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182</v>
      </c>
      <c r="F219" s="65" t="s">
        <v>202</v>
      </c>
      <c r="G219" s="65" t="str">
        <f>INDEX(Auxiliar!$B$16:$B$24,MATCH(Plano_V1!H219,Auxiliar!$C$16:$C$24,0),1)</f>
        <v>2.1 Em Teste</v>
      </c>
      <c r="H219" s="65">
        <f>VLOOKUP(A219,'Aux - pivots1'!$A:$B,2,0)</f>
        <v>2</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182</v>
      </c>
      <c r="F220" s="65" t="s">
        <v>203</v>
      </c>
      <c r="G220" s="65" t="str">
        <f>INDEX(Auxiliar!$B$16:$B$24,MATCH(Plano_V1!H220,Auxiliar!$C$16:$C$24,0),1)</f>
        <v>2.1 Em Teste</v>
      </c>
      <c r="H220" s="65">
        <f>VLOOKUP(A220,'Aux - pivots1'!$A:$B,2,0)</f>
        <v>2</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2.1 Em Teste</v>
      </c>
      <c r="H221" s="65">
        <f>VLOOKUP(A221,'Aux - pivots1'!$A:$B,2,0)</f>
        <v>2</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182</v>
      </c>
      <c r="F222" s="65" t="s">
        <v>205</v>
      </c>
      <c r="G222" s="65" t="str">
        <f>INDEX(Auxiliar!$B$16:$B$24,MATCH(Plano_V1!H222,Auxiliar!$C$16:$C$24,0),1)</f>
        <v>2.1 Em Teste</v>
      </c>
      <c r="H222" s="65">
        <f>VLOOKUP(A222,'Aux - pivots1'!$A:$B,2,0)</f>
        <v>2</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182</v>
      </c>
      <c r="F223" s="65" t="s">
        <v>206</v>
      </c>
      <c r="G223" s="65" t="str">
        <f>INDEX(Auxiliar!$B$16:$B$24,MATCH(Plano_V1!H223,Auxiliar!$C$16:$C$24,0),1)</f>
        <v>2.1 Em Teste</v>
      </c>
      <c r="H223" s="65">
        <f>VLOOKUP(A223,'Aux - pivots1'!$A:$B,2,0)</f>
        <v>2</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2.1 Em Teste</v>
      </c>
      <c r="H224" s="65">
        <f>VLOOKUP(A224,'Aux - pivots1'!$A:$B,2,0)</f>
        <v>2</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182</v>
      </c>
      <c r="F226" s="65" t="s">
        <v>209</v>
      </c>
      <c r="G226" s="65" t="str">
        <f>INDEX(Auxiliar!$B$16:$B$24,MATCH(Plano_V1!H226,Auxiliar!$C$16:$C$24,0),1)</f>
        <v>2.1 Em Teste</v>
      </c>
      <c r="H226" s="65">
        <f>VLOOKUP(A226,'Aux - pivots1'!$A:$B,2,0)</f>
        <v>2</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182</v>
      </c>
      <c r="F227" s="65" t="s">
        <v>210</v>
      </c>
      <c r="G227" s="65" t="str">
        <f>INDEX(Auxiliar!$B$16:$B$24,MATCH(Plano_V1!H227,Auxiliar!$C$16:$C$24,0),1)</f>
        <v>2.1 Em Teste</v>
      </c>
      <c r="H227" s="65">
        <f>VLOOKUP(A227,'Aux - pivots1'!$A:$B,2,0)</f>
        <v>2</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311</v>
      </c>
      <c r="D372" s="65" t="s">
        <v>40</v>
      </c>
      <c r="E372" s="67" t="s">
        <v>312</v>
      </c>
      <c r="F372" s="65" t="s">
        <v>320</v>
      </c>
      <c r="G372" s="65" t="str">
        <f>INDEX(Auxiliar!$B$16:$B$24,MATCH(Plano_V1!H372,Auxiliar!$C$16:$C$24,0),1)</f>
        <v>2.1 Em Teste</v>
      </c>
      <c r="H372" s="65">
        <f>VLOOKUP(A372,'Aux - pivots1'!$A:$B,2,0)</f>
        <v>2</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311</v>
      </c>
      <c r="D373" s="65" t="s">
        <v>40</v>
      </c>
      <c r="E373" s="67" t="s">
        <v>312</v>
      </c>
      <c r="F373" s="65" t="s">
        <v>321</v>
      </c>
      <c r="G373" s="65" t="str">
        <f>INDEX(Auxiliar!$B$16:$B$24,MATCH(Plano_V1!H373,Auxiliar!$C$16:$C$24,0),1)</f>
        <v>2.1 Em Teste</v>
      </c>
      <c r="H373" s="65">
        <f>VLOOKUP(A373,'Aux - pivots1'!$A:$B,2,0)</f>
        <v>2</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311</v>
      </c>
      <c r="D376" s="65" t="s">
        <v>40</v>
      </c>
      <c r="E376" s="67" t="s">
        <v>312</v>
      </c>
      <c r="F376" s="65" t="s">
        <v>286</v>
      </c>
      <c r="G376" s="65" t="str">
        <f>INDEX(Auxiliar!$B$16:$B$24,MATCH(Plano_V1!H376,Auxiliar!$C$16:$C$24,0),1)</f>
        <v>2.1 Em Teste</v>
      </c>
      <c r="H376" s="65">
        <f>VLOOKUP(A376,'Aux - pivots1'!$A:$B,2,0)</f>
        <v>2</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311</v>
      </c>
      <c r="D377" s="65" t="s">
        <v>40</v>
      </c>
      <c r="E377" s="67" t="s">
        <v>312</v>
      </c>
      <c r="F377" s="65" t="s">
        <v>287</v>
      </c>
      <c r="G377" s="65" t="str">
        <f>INDEX(Auxiliar!$B$16:$B$24,MATCH(Plano_V1!H377,Auxiliar!$C$16:$C$24,0),1)</f>
        <v>2.1 Em Teste</v>
      </c>
      <c r="H377" s="65">
        <f>VLOOKUP(A377,'Aux - pivots1'!$A:$B,2,0)</f>
        <v>2</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311</v>
      </c>
      <c r="D379" s="65" t="s">
        <v>40</v>
      </c>
      <c r="E379" s="67" t="s">
        <v>312</v>
      </c>
      <c r="F379" s="65" t="s">
        <v>323</v>
      </c>
      <c r="G379" s="65" t="str">
        <f>INDEX(Auxiliar!$B$16:$B$24,MATCH(Plano_V1!H379,Auxiliar!$C$16:$C$24,0),1)</f>
        <v>2.1 Em Teste</v>
      </c>
      <c r="H379" s="65">
        <f>VLOOKUP(A379,'Aux - pivots1'!$A:$B,2,0)</f>
        <v>2</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311</v>
      </c>
      <c r="D380" s="65" t="s">
        <v>40</v>
      </c>
      <c r="E380" s="67" t="s">
        <v>312</v>
      </c>
      <c r="F380" s="65" t="s">
        <v>324</v>
      </c>
      <c r="G380" s="65" t="str">
        <f>INDEX(Auxiliar!$B$16:$B$24,MATCH(Plano_V1!H380,Auxiliar!$C$16:$C$24,0),1)</f>
        <v>2.1 Em Teste</v>
      </c>
      <c r="H380" s="65">
        <f>VLOOKUP(A380,'Aux - pivots1'!$A:$B,2,0)</f>
        <v>2</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336</v>
      </c>
      <c r="F457" s="72" t="s">
        <v>347</v>
      </c>
      <c r="G457" s="65" t="str">
        <f>INDEX(Auxiliar!$B$16:$B$24,MATCH(Plano_V1!H457,Auxiliar!$C$16:$C$24,0),1)</f>
        <v>6. Em implementação (re-especificação)</v>
      </c>
      <c r="H457" s="65">
        <f>VLOOKUP(A457,'Aux - pivots1'!$A:$B,2,0)</f>
        <v>7</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444</v>
      </c>
    </row>
  </sheetData>
  <autoFilter ref="B13:K636" xr:uid="{00000000-0009-0000-0000-000000000000}"/>
  <conditionalFormatting sqref="L15:L18 L26:L447">
    <cfRule type="cellIs" dxfId="134" priority="11" operator="notEqual">
      <formula>0</formula>
    </cfRule>
  </conditionalFormatting>
  <conditionalFormatting sqref="L21:L23">
    <cfRule type="cellIs" dxfId="133" priority="3" operator="notEqual">
      <formula>0</formula>
    </cfRule>
  </conditionalFormatting>
  <conditionalFormatting sqref="L577:L579">
    <cfRule type="cellIs" dxfId="132" priority="2" operator="notEqual">
      <formula>0</formula>
    </cfRule>
  </conditionalFormatting>
  <conditionalFormatting sqref="L582:L636">
    <cfRule type="cellIs" dxfId="131" priority="1" operator="notEqual">
      <formula>0</formula>
    </cfRule>
  </conditionalFormatting>
  <conditionalFormatting sqref="M5:M6 N6:FK6">
    <cfRule type="cellIs" dxfId="130" priority="12" operator="notEqual">
      <formula>0</formula>
    </cfRule>
  </conditionalFormatting>
  <conditionalFormatting sqref="M15:FK18 M21:FK23 M577:FK579 M636:FK636">
    <cfRule type="cellIs" dxfId="129" priority="10" operator="greaterThan">
      <formula>0</formula>
    </cfRule>
  </conditionalFormatting>
  <conditionalFormatting sqref="M26:FK27">
    <cfRule type="cellIs" dxfId="128" priority="9" operator="greaterThan">
      <formula>0</formula>
    </cfRule>
  </conditionalFormatting>
  <conditionalFormatting sqref="M42:FK42">
    <cfRule type="cellIs" dxfId="127" priority="8" operator="greaterThan">
      <formula>0</formula>
    </cfRule>
  </conditionalFormatting>
  <conditionalFormatting sqref="M198:FK198">
    <cfRule type="cellIs" dxfId="126" priority="7" operator="greaterThan">
      <formula>0</formula>
    </cfRule>
  </conditionalFormatting>
  <conditionalFormatting sqref="M362:FK362">
    <cfRule type="cellIs" dxfId="125" priority="6" operator="greaterThan">
      <formula>0</formula>
    </cfRule>
  </conditionalFormatting>
  <conditionalFormatting sqref="M447:FK447">
    <cfRule type="cellIs" dxfId="124" priority="5" operator="greaterThan">
      <formula>0</formula>
    </cfRule>
  </conditionalFormatting>
  <conditionalFormatting sqref="M582:FK583">
    <cfRule type="cellIs" dxfId="12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47"/>
  <sheetViews>
    <sheetView showGridLines="0" topLeftCell="B68" zoomScale="70" zoomScaleNormal="70" workbookViewId="0">
      <selection activeCell="X112" sqref="X112"/>
    </sheetView>
  </sheetViews>
  <sheetFormatPr defaultColWidth="0" defaultRowHeight="17.399999999999999" zeroHeight="1" x14ac:dyDescent="0.45"/>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1949</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290" t="s">
        <v>2033</v>
      </c>
      <c r="C8" s="291"/>
      <c r="D8" s="291"/>
      <c r="E8" s="291"/>
      <c r="F8" s="291"/>
      <c r="G8" s="291"/>
      <c r="H8" s="291"/>
      <c r="I8" s="291"/>
      <c r="J8" s="291"/>
      <c r="K8" s="291"/>
      <c r="L8" s="291"/>
      <c r="M8" s="291"/>
      <c r="N8" s="291"/>
      <c r="O8" s="291"/>
      <c r="P8" s="291"/>
      <c r="Q8" s="291"/>
      <c r="R8" s="291"/>
      <c r="S8" s="291"/>
      <c r="T8" s="291"/>
      <c r="U8" s="291"/>
      <c r="V8" s="291"/>
      <c r="W8" s="291"/>
      <c r="X8" s="291"/>
      <c r="Y8" s="291"/>
      <c r="Z8" s="291"/>
      <c r="AA8" s="291"/>
      <c r="AB8" s="291"/>
      <c r="AC8" s="291"/>
      <c r="AD8" s="291"/>
      <c r="AE8" s="291"/>
      <c r="AF8" s="291"/>
      <c r="AG8" s="292"/>
      <c r="AH8" s="117"/>
    </row>
    <row r="9" spans="1:34" ht="17.7" customHeight="1" x14ac:dyDescent="0.45">
      <c r="A9" s="117"/>
      <c r="B9" s="293"/>
      <c r="C9" s="294"/>
      <c r="D9" s="294"/>
      <c r="E9" s="294"/>
      <c r="F9" s="294"/>
      <c r="G9" s="294"/>
      <c r="H9" s="294"/>
      <c r="I9" s="294"/>
      <c r="J9" s="294"/>
      <c r="K9" s="294"/>
      <c r="L9" s="294"/>
      <c r="M9" s="294"/>
      <c r="N9" s="294"/>
      <c r="O9" s="294"/>
      <c r="P9" s="294"/>
      <c r="Q9" s="294"/>
      <c r="R9" s="294"/>
      <c r="S9" s="294"/>
      <c r="T9" s="294"/>
      <c r="U9" s="294"/>
      <c r="V9" s="294"/>
      <c r="W9" s="294"/>
      <c r="X9" s="294"/>
      <c r="Y9" s="294"/>
      <c r="Z9" s="294"/>
      <c r="AA9" s="294"/>
      <c r="AB9" s="294"/>
      <c r="AC9" s="294"/>
      <c r="AD9" s="294"/>
      <c r="AE9" s="294"/>
      <c r="AF9" s="294"/>
      <c r="AG9" s="295"/>
      <c r="AH9" s="117"/>
    </row>
    <row r="10" spans="1:34" ht="17.7" customHeight="1" x14ac:dyDescent="0.45">
      <c r="A10" s="117"/>
      <c r="B10" s="293"/>
      <c r="C10" s="294"/>
      <c r="D10" s="294"/>
      <c r="E10" s="294"/>
      <c r="F10" s="294"/>
      <c r="G10" s="294"/>
      <c r="H10" s="294"/>
      <c r="I10" s="294"/>
      <c r="J10" s="294"/>
      <c r="K10" s="294"/>
      <c r="L10" s="294"/>
      <c r="M10" s="294"/>
      <c r="N10" s="294"/>
      <c r="O10" s="294"/>
      <c r="P10" s="294"/>
      <c r="Q10" s="294"/>
      <c r="R10" s="294"/>
      <c r="S10" s="294"/>
      <c r="T10" s="294"/>
      <c r="U10" s="294"/>
      <c r="V10" s="294"/>
      <c r="W10" s="294"/>
      <c r="X10" s="294"/>
      <c r="Y10" s="294"/>
      <c r="Z10" s="294"/>
      <c r="AA10" s="294"/>
      <c r="AB10" s="294"/>
      <c r="AC10" s="294"/>
      <c r="AD10" s="294"/>
      <c r="AE10" s="294"/>
      <c r="AF10" s="294"/>
      <c r="AG10" s="295"/>
      <c r="AH10" s="117"/>
    </row>
    <row r="11" spans="1:34" ht="17.7" customHeight="1" x14ac:dyDescent="0.45">
      <c r="A11" s="117"/>
      <c r="B11" s="293"/>
      <c r="C11" s="294"/>
      <c r="D11" s="294"/>
      <c r="E11" s="294"/>
      <c r="F11" s="294"/>
      <c r="G11" s="294"/>
      <c r="H11" s="294"/>
      <c r="I11" s="294"/>
      <c r="J11" s="294"/>
      <c r="K11" s="294"/>
      <c r="L11" s="294"/>
      <c r="M11" s="294"/>
      <c r="N11" s="294"/>
      <c r="O11" s="294"/>
      <c r="P11" s="294"/>
      <c r="Q11" s="294"/>
      <c r="R11" s="294"/>
      <c r="S11" s="294"/>
      <c r="T11" s="294"/>
      <c r="U11" s="294"/>
      <c r="V11" s="294"/>
      <c r="W11" s="294"/>
      <c r="X11" s="294"/>
      <c r="Y11" s="294"/>
      <c r="Z11" s="294"/>
      <c r="AA11" s="294"/>
      <c r="AB11" s="294"/>
      <c r="AC11" s="294"/>
      <c r="AD11" s="294"/>
      <c r="AE11" s="294"/>
      <c r="AF11" s="294"/>
      <c r="AG11" s="295"/>
      <c r="AH11" s="117"/>
    </row>
    <row r="12" spans="1:34" ht="17.7" customHeight="1" x14ac:dyDescent="0.45">
      <c r="A12" s="117"/>
      <c r="B12" s="293"/>
      <c r="C12" s="294"/>
      <c r="D12" s="294"/>
      <c r="E12" s="294"/>
      <c r="F12" s="294"/>
      <c r="G12" s="294"/>
      <c r="H12" s="294"/>
      <c r="I12" s="294"/>
      <c r="J12" s="294"/>
      <c r="K12" s="294"/>
      <c r="L12" s="294"/>
      <c r="M12" s="294"/>
      <c r="N12" s="294"/>
      <c r="O12" s="294"/>
      <c r="P12" s="294"/>
      <c r="Q12" s="294"/>
      <c r="R12" s="294"/>
      <c r="S12" s="294"/>
      <c r="T12" s="294"/>
      <c r="U12" s="294"/>
      <c r="V12" s="294"/>
      <c r="W12" s="294"/>
      <c r="X12" s="294"/>
      <c r="Y12" s="294"/>
      <c r="Z12" s="294"/>
      <c r="AA12" s="294"/>
      <c r="AB12" s="294"/>
      <c r="AC12" s="294"/>
      <c r="AD12" s="294"/>
      <c r="AE12" s="294"/>
      <c r="AF12" s="294"/>
      <c r="AG12" s="295"/>
      <c r="AH12" s="117"/>
    </row>
    <row r="13" spans="1:34" ht="17.7" customHeight="1" x14ac:dyDescent="0.45">
      <c r="A13" s="117"/>
      <c r="B13" s="293"/>
      <c r="C13" s="294"/>
      <c r="D13" s="294"/>
      <c r="E13" s="294"/>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294"/>
      <c r="AE13" s="294"/>
      <c r="AF13" s="294"/>
      <c r="AG13" s="295"/>
      <c r="AH13" s="117"/>
    </row>
    <row r="14" spans="1:34" ht="17.7" customHeight="1" x14ac:dyDescent="0.45">
      <c r="A14" s="117"/>
      <c r="B14" s="293"/>
      <c r="C14" s="294"/>
      <c r="D14" s="294"/>
      <c r="E14" s="294"/>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294"/>
      <c r="AE14" s="294"/>
      <c r="AF14" s="294"/>
      <c r="AG14" s="295"/>
      <c r="AH14" s="117"/>
    </row>
    <row r="15" spans="1:34" ht="17.7" customHeight="1" x14ac:dyDescent="0.45">
      <c r="A15" s="117"/>
      <c r="B15" s="293"/>
      <c r="C15" s="294"/>
      <c r="D15" s="294"/>
      <c r="E15" s="294"/>
      <c r="F15" s="294"/>
      <c r="G15" s="294"/>
      <c r="H15" s="294"/>
      <c r="I15" s="294"/>
      <c r="J15" s="294"/>
      <c r="K15" s="294"/>
      <c r="L15" s="294"/>
      <c r="M15" s="294"/>
      <c r="N15" s="294"/>
      <c r="O15" s="294"/>
      <c r="P15" s="294"/>
      <c r="Q15" s="294"/>
      <c r="R15" s="294"/>
      <c r="S15" s="294"/>
      <c r="T15" s="294"/>
      <c r="U15" s="294"/>
      <c r="V15" s="294"/>
      <c r="W15" s="294"/>
      <c r="X15" s="294"/>
      <c r="Y15" s="294"/>
      <c r="Z15" s="294"/>
      <c r="AA15" s="294"/>
      <c r="AB15" s="294"/>
      <c r="AC15" s="294"/>
      <c r="AD15" s="294"/>
      <c r="AE15" s="294"/>
      <c r="AF15" s="294"/>
      <c r="AG15" s="295"/>
      <c r="AH15" s="117"/>
    </row>
    <row r="16" spans="1:34" ht="17.7" customHeight="1" x14ac:dyDescent="0.45">
      <c r="A16" s="117"/>
      <c r="B16" s="293"/>
      <c r="C16" s="294"/>
      <c r="D16" s="294"/>
      <c r="E16" s="294"/>
      <c r="F16" s="294"/>
      <c r="G16" s="294"/>
      <c r="H16" s="294"/>
      <c r="I16" s="294"/>
      <c r="J16" s="294"/>
      <c r="K16" s="294"/>
      <c r="L16" s="294"/>
      <c r="M16" s="294"/>
      <c r="N16" s="294"/>
      <c r="O16" s="294"/>
      <c r="P16" s="294"/>
      <c r="Q16" s="294"/>
      <c r="R16" s="294"/>
      <c r="S16" s="294"/>
      <c r="T16" s="294"/>
      <c r="U16" s="294"/>
      <c r="V16" s="294"/>
      <c r="W16" s="294"/>
      <c r="X16" s="294"/>
      <c r="Y16" s="294"/>
      <c r="Z16" s="294"/>
      <c r="AA16" s="294"/>
      <c r="AB16" s="294"/>
      <c r="AC16" s="294"/>
      <c r="AD16" s="294"/>
      <c r="AE16" s="294"/>
      <c r="AF16" s="294"/>
      <c r="AG16" s="295"/>
      <c r="AH16" s="117"/>
    </row>
    <row r="17" spans="1:34" ht="17.7" customHeight="1" x14ac:dyDescent="0.45">
      <c r="A17" s="117"/>
      <c r="B17" s="293"/>
      <c r="C17" s="294"/>
      <c r="D17" s="294"/>
      <c r="E17" s="294"/>
      <c r="F17" s="294"/>
      <c r="G17" s="294"/>
      <c r="H17" s="294"/>
      <c r="I17" s="294"/>
      <c r="J17" s="294"/>
      <c r="K17" s="294"/>
      <c r="L17" s="294"/>
      <c r="M17" s="294"/>
      <c r="N17" s="294"/>
      <c r="O17" s="294"/>
      <c r="P17" s="294"/>
      <c r="Q17" s="294"/>
      <c r="R17" s="294"/>
      <c r="S17" s="294"/>
      <c r="T17" s="294"/>
      <c r="U17" s="294"/>
      <c r="V17" s="294"/>
      <c r="W17" s="294"/>
      <c r="X17" s="294"/>
      <c r="Y17" s="294"/>
      <c r="Z17" s="294"/>
      <c r="AA17" s="294"/>
      <c r="AB17" s="294"/>
      <c r="AC17" s="294"/>
      <c r="AD17" s="294"/>
      <c r="AE17" s="294"/>
      <c r="AF17" s="294"/>
      <c r="AG17" s="295"/>
      <c r="AH17" s="117"/>
    </row>
    <row r="18" spans="1:34" ht="17.7" customHeight="1" x14ac:dyDescent="0.45">
      <c r="A18" s="117"/>
      <c r="B18" s="293"/>
      <c r="C18" s="294"/>
      <c r="D18" s="294"/>
      <c r="E18" s="294"/>
      <c r="F18" s="294"/>
      <c r="G18" s="294"/>
      <c r="H18" s="294"/>
      <c r="I18" s="294"/>
      <c r="J18" s="294"/>
      <c r="K18" s="294"/>
      <c r="L18" s="294"/>
      <c r="M18" s="294"/>
      <c r="N18" s="294"/>
      <c r="O18" s="294"/>
      <c r="P18" s="294"/>
      <c r="Q18" s="294"/>
      <c r="R18" s="294"/>
      <c r="S18" s="294"/>
      <c r="T18" s="294"/>
      <c r="U18" s="294"/>
      <c r="V18" s="294"/>
      <c r="W18" s="294"/>
      <c r="X18" s="294"/>
      <c r="Y18" s="294"/>
      <c r="Z18" s="294"/>
      <c r="AA18" s="294"/>
      <c r="AB18" s="294"/>
      <c r="AC18" s="294"/>
      <c r="AD18" s="294"/>
      <c r="AE18" s="294"/>
      <c r="AF18" s="294"/>
      <c r="AG18" s="295"/>
      <c r="AH18" s="117"/>
    </row>
    <row r="19" spans="1:34" ht="17.7" customHeight="1" x14ac:dyDescent="0.45">
      <c r="A19" s="117"/>
      <c r="B19" s="296"/>
      <c r="C19" s="297"/>
      <c r="D19" s="297"/>
      <c r="E19" s="297"/>
      <c r="F19" s="297"/>
      <c r="G19" s="297"/>
      <c r="H19" s="297"/>
      <c r="I19" s="297"/>
      <c r="J19" s="297"/>
      <c r="K19" s="297"/>
      <c r="L19" s="297"/>
      <c r="M19" s="297"/>
      <c r="N19" s="297"/>
      <c r="O19" s="297"/>
      <c r="P19" s="297"/>
      <c r="Q19" s="297"/>
      <c r="R19" s="297"/>
      <c r="S19" s="297"/>
      <c r="T19" s="297"/>
      <c r="U19" s="297"/>
      <c r="V19" s="297"/>
      <c r="W19" s="297"/>
      <c r="X19" s="297"/>
      <c r="Y19" s="297"/>
      <c r="Z19" s="297"/>
      <c r="AA19" s="297"/>
      <c r="AB19" s="297"/>
      <c r="AC19" s="297"/>
      <c r="AD19" s="297"/>
      <c r="AE19" s="297"/>
      <c r="AF19" s="297"/>
      <c r="AG19" s="298"/>
      <c r="AH19" s="117"/>
    </row>
    <row r="20" spans="1:34" x14ac:dyDescent="0.45">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x14ac:dyDescent="0.45">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x14ac:dyDescent="0.55000000000000004">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x14ac:dyDescent="0.45">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x14ac:dyDescent="0.45">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x14ac:dyDescent="0.45">
      <c r="A25" s="117"/>
      <c r="B25" s="122"/>
      <c r="C25" s="155" t="s">
        <v>608</v>
      </c>
      <c r="G25" s="155" t="s">
        <v>609</v>
      </c>
      <c r="P25" s="130" t="s">
        <v>610</v>
      </c>
      <c r="Q25" s="131"/>
      <c r="R25" s="130"/>
      <c r="S25" s="131"/>
      <c r="T25" s="132">
        <v>45596</v>
      </c>
      <c r="U25" s="132">
        <f>T25+8</f>
        <v>45604</v>
      </c>
      <c r="V25" s="133" t="s">
        <v>611</v>
      </c>
      <c r="X25" s="156" t="s">
        <v>612</v>
      </c>
      <c r="AG25" s="123"/>
      <c r="AH25" s="117"/>
    </row>
    <row r="26" spans="1:34" ht="17.7" customHeight="1" x14ac:dyDescent="0.45">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08" t="s">
        <v>1951</v>
      </c>
      <c r="Y26" s="309"/>
      <c r="Z26" s="309"/>
      <c r="AA26" s="309"/>
      <c r="AB26" s="309"/>
      <c r="AC26" s="309"/>
      <c r="AD26" s="309"/>
      <c r="AE26" s="309"/>
      <c r="AF26" s="310"/>
      <c r="AG26" s="164"/>
      <c r="AH26" s="117"/>
    </row>
    <row r="27" spans="1:34" x14ac:dyDescent="0.45">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11"/>
      <c r="Y27" s="312"/>
      <c r="Z27" s="312"/>
      <c r="AA27" s="312"/>
      <c r="AB27" s="312"/>
      <c r="AC27" s="312"/>
      <c r="AD27" s="312"/>
      <c r="AE27" s="312"/>
      <c r="AF27" s="313"/>
      <c r="AG27" s="164"/>
      <c r="AH27" s="117"/>
    </row>
    <row r="28" spans="1:34" x14ac:dyDescent="0.45">
      <c r="A28" s="117"/>
      <c r="B28" s="122"/>
      <c r="P28" s="26" t="s">
        <v>1931</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0</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0</v>
      </c>
      <c r="V28" s="26">
        <f t="shared" si="0"/>
        <v>0</v>
      </c>
      <c r="X28" s="311"/>
      <c r="Y28" s="312"/>
      <c r="Z28" s="312"/>
      <c r="AA28" s="312"/>
      <c r="AB28" s="312"/>
      <c r="AC28" s="312"/>
      <c r="AD28" s="312"/>
      <c r="AE28" s="312"/>
      <c r="AF28" s="313"/>
      <c r="AG28" s="164"/>
      <c r="AH28" s="117"/>
    </row>
    <row r="29" spans="1:34" x14ac:dyDescent="0.45">
      <c r="A29" s="117"/>
      <c r="B29" s="122"/>
      <c r="D29" s="289" t="str">
        <f>"# "&amp;U35</f>
        <v># 169</v>
      </c>
      <c r="E29" s="289"/>
      <c r="P29" s="26" t="s">
        <v>1932</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11"/>
      <c r="Y29" s="312"/>
      <c r="Z29" s="312"/>
      <c r="AA29" s="312"/>
      <c r="AB29" s="312"/>
      <c r="AC29" s="312"/>
      <c r="AD29" s="312"/>
      <c r="AE29" s="312"/>
      <c r="AF29" s="313"/>
      <c r="AG29" s="164"/>
      <c r="AH29" s="117"/>
    </row>
    <row r="30" spans="1:34" ht="17.7" customHeight="1" x14ac:dyDescent="0.45">
      <c r="A30" s="117"/>
      <c r="B30" s="122"/>
      <c r="D30" s="289"/>
      <c r="E30" s="289"/>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11"/>
      <c r="Y30" s="312"/>
      <c r="Z30" s="312"/>
      <c r="AA30" s="312"/>
      <c r="AB30" s="312"/>
      <c r="AC30" s="312"/>
      <c r="AD30" s="312"/>
      <c r="AE30" s="312"/>
      <c r="AF30" s="313"/>
      <c r="AG30" s="164"/>
      <c r="AH30" s="117"/>
    </row>
    <row r="31" spans="1:34" ht="17.7" customHeight="1" x14ac:dyDescent="0.45">
      <c r="A31" s="117"/>
      <c r="B31" s="122"/>
      <c r="D31" s="289"/>
      <c r="E31" s="289"/>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22</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22</v>
      </c>
      <c r="V31" s="26">
        <f t="shared" si="0"/>
        <v>0</v>
      </c>
      <c r="X31" s="311"/>
      <c r="Y31" s="312"/>
      <c r="Z31" s="312"/>
      <c r="AA31" s="312"/>
      <c r="AB31" s="312"/>
      <c r="AC31" s="312"/>
      <c r="AD31" s="312"/>
      <c r="AE31" s="312"/>
      <c r="AF31" s="313"/>
      <c r="AG31" s="164"/>
      <c r="AH31" s="117"/>
    </row>
    <row r="32" spans="1:34" x14ac:dyDescent="0.45">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11"/>
      <c r="Y32" s="312"/>
      <c r="Z32" s="312"/>
      <c r="AA32" s="312"/>
      <c r="AB32" s="312"/>
      <c r="AC32" s="312"/>
      <c r="AD32" s="312"/>
      <c r="AE32" s="312"/>
      <c r="AF32" s="313"/>
      <c r="AG32" s="164"/>
      <c r="AH32" s="117"/>
    </row>
    <row r="33" spans="1:34" x14ac:dyDescent="0.45">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0</v>
      </c>
      <c r="X33" s="311"/>
      <c r="Y33" s="312"/>
      <c r="Z33" s="312"/>
      <c r="AA33" s="312"/>
      <c r="AB33" s="312"/>
      <c r="AC33" s="312"/>
      <c r="AD33" s="312"/>
      <c r="AE33" s="312"/>
      <c r="AF33" s="313"/>
      <c r="AG33" s="164"/>
      <c r="AH33" s="117"/>
    </row>
    <row r="34" spans="1:34" x14ac:dyDescent="0.45">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11"/>
      <c r="Y34" s="312"/>
      <c r="Z34" s="312"/>
      <c r="AA34" s="312"/>
      <c r="AB34" s="312"/>
      <c r="AC34" s="312"/>
      <c r="AD34" s="312"/>
      <c r="AE34" s="312"/>
      <c r="AF34" s="313"/>
      <c r="AG34" s="164"/>
      <c r="AH34" s="117"/>
    </row>
    <row r="35" spans="1:34" x14ac:dyDescent="0.45">
      <c r="A35" s="117"/>
      <c r="B35" s="122"/>
      <c r="T35" s="128">
        <f>SUM(T26:T34)</f>
        <v>169</v>
      </c>
      <c r="U35" s="128">
        <f>SUM(U26:U34)</f>
        <v>169</v>
      </c>
      <c r="X35" s="311"/>
      <c r="Y35" s="312"/>
      <c r="Z35" s="312"/>
      <c r="AA35" s="312"/>
      <c r="AB35" s="312"/>
      <c r="AC35" s="312"/>
      <c r="AD35" s="312"/>
      <c r="AE35" s="312"/>
      <c r="AF35" s="313"/>
      <c r="AG35" s="164"/>
      <c r="AH35" s="117"/>
    </row>
    <row r="36" spans="1:34" x14ac:dyDescent="0.45">
      <c r="A36" s="117"/>
      <c r="B36" s="122"/>
      <c r="G36" s="130" t="s">
        <v>620</v>
      </c>
      <c r="H36" s="131"/>
      <c r="I36" s="131"/>
      <c r="J36" s="131"/>
      <c r="K36" s="131"/>
      <c r="L36" s="131"/>
      <c r="M36" s="131"/>
      <c r="P36" s="130" t="s">
        <v>621</v>
      </c>
      <c r="Q36" s="131"/>
      <c r="R36" s="131"/>
      <c r="S36" s="131"/>
      <c r="T36" s="131"/>
      <c r="U36" s="131"/>
      <c r="V36" s="131"/>
      <c r="X36" s="311"/>
      <c r="Y36" s="312"/>
      <c r="Z36" s="312"/>
      <c r="AA36" s="312"/>
      <c r="AB36" s="312"/>
      <c r="AC36" s="312"/>
      <c r="AD36" s="312"/>
      <c r="AE36" s="312"/>
      <c r="AF36" s="313"/>
      <c r="AG36" s="164"/>
      <c r="AH36" s="117"/>
    </row>
    <row r="37" spans="1:34" x14ac:dyDescent="0.45">
      <c r="A37" s="117"/>
      <c r="B37" s="122"/>
      <c r="F37" s="160" t="s">
        <v>622</v>
      </c>
      <c r="G37" s="26" t="s">
        <v>623</v>
      </c>
      <c r="L37" s="162" t="s">
        <v>624</v>
      </c>
      <c r="O37" s="160" t="s">
        <v>622</v>
      </c>
      <c r="P37" s="26" t="s">
        <v>625</v>
      </c>
      <c r="T37" s="162" t="s">
        <v>624</v>
      </c>
      <c r="X37" s="311"/>
      <c r="Y37" s="312"/>
      <c r="Z37" s="312"/>
      <c r="AA37" s="312"/>
      <c r="AB37" s="312"/>
      <c r="AC37" s="312"/>
      <c r="AD37" s="312"/>
      <c r="AE37" s="312"/>
      <c r="AF37" s="313"/>
      <c r="AG37" s="164"/>
      <c r="AH37" s="117"/>
    </row>
    <row r="38" spans="1:34" x14ac:dyDescent="0.45">
      <c r="A38" s="117"/>
      <c r="B38" s="122"/>
      <c r="F38" s="160" t="s">
        <v>622</v>
      </c>
      <c r="G38" s="26" t="s">
        <v>626</v>
      </c>
      <c r="L38" s="162" t="s">
        <v>624</v>
      </c>
      <c r="O38" s="160" t="s">
        <v>622</v>
      </c>
      <c r="P38" s="26" t="s">
        <v>627</v>
      </c>
      <c r="T38" s="162" t="s">
        <v>624</v>
      </c>
      <c r="X38" s="311"/>
      <c r="Y38" s="312"/>
      <c r="Z38" s="312"/>
      <c r="AA38" s="312"/>
      <c r="AB38" s="312"/>
      <c r="AC38" s="312"/>
      <c r="AD38" s="312"/>
      <c r="AE38" s="312"/>
      <c r="AF38" s="313"/>
      <c r="AG38" s="164"/>
      <c r="AH38" s="117"/>
    </row>
    <row r="39" spans="1:34" x14ac:dyDescent="0.45">
      <c r="A39" s="117"/>
      <c r="B39" s="122"/>
      <c r="F39" s="160" t="s">
        <v>622</v>
      </c>
      <c r="G39" s="26" t="s">
        <v>628</v>
      </c>
      <c r="L39" s="162" t="s">
        <v>624</v>
      </c>
      <c r="O39" s="160" t="s">
        <v>622</v>
      </c>
      <c r="P39" s="26" t="s">
        <v>629</v>
      </c>
      <c r="T39" s="165" t="s">
        <v>630</v>
      </c>
      <c r="X39" s="311"/>
      <c r="Y39" s="312"/>
      <c r="Z39" s="312"/>
      <c r="AA39" s="312"/>
      <c r="AB39" s="312"/>
      <c r="AC39" s="312"/>
      <c r="AD39" s="312"/>
      <c r="AE39" s="312"/>
      <c r="AF39" s="313"/>
      <c r="AG39" s="164"/>
      <c r="AH39" s="117"/>
    </row>
    <row r="40" spans="1:34" x14ac:dyDescent="0.45">
      <c r="A40" s="117"/>
      <c r="B40" s="122"/>
      <c r="F40" s="160" t="s">
        <v>622</v>
      </c>
      <c r="G40" s="26" t="s">
        <v>631</v>
      </c>
      <c r="L40" s="162" t="s">
        <v>624</v>
      </c>
      <c r="O40" s="160"/>
      <c r="T40" s="165"/>
      <c r="X40" s="311"/>
      <c r="Y40" s="312"/>
      <c r="Z40" s="312"/>
      <c r="AA40" s="312"/>
      <c r="AB40" s="312"/>
      <c r="AC40" s="312"/>
      <c r="AD40" s="312"/>
      <c r="AE40" s="312"/>
      <c r="AF40" s="313"/>
      <c r="AG40" s="164"/>
      <c r="AH40" s="117"/>
    </row>
    <row r="41" spans="1:34" x14ac:dyDescent="0.45">
      <c r="A41" s="117"/>
      <c r="B41" s="122"/>
      <c r="F41" s="160" t="s">
        <v>622</v>
      </c>
      <c r="G41" s="26" t="s">
        <v>632</v>
      </c>
      <c r="L41" s="166" t="s">
        <v>633</v>
      </c>
      <c r="O41" s="160"/>
      <c r="T41" s="165"/>
      <c r="X41" s="311"/>
      <c r="Y41" s="312"/>
      <c r="Z41" s="312"/>
      <c r="AA41" s="312"/>
      <c r="AB41" s="312"/>
      <c r="AC41" s="312"/>
      <c r="AD41" s="312"/>
      <c r="AE41" s="312"/>
      <c r="AF41" s="313"/>
      <c r="AG41" s="164"/>
      <c r="AH41" s="117"/>
    </row>
    <row r="42" spans="1:34" x14ac:dyDescent="0.45">
      <c r="A42" s="117"/>
      <c r="B42" s="122"/>
      <c r="F42" s="160" t="s">
        <v>622</v>
      </c>
      <c r="G42" s="26" t="s">
        <v>634</v>
      </c>
      <c r="L42" s="222" t="s">
        <v>1950</v>
      </c>
      <c r="O42" s="160"/>
      <c r="T42" s="162"/>
      <c r="X42" s="311"/>
      <c r="Y42" s="312"/>
      <c r="Z42" s="312"/>
      <c r="AA42" s="312"/>
      <c r="AB42" s="312"/>
      <c r="AC42" s="312"/>
      <c r="AD42" s="312"/>
      <c r="AE42" s="312"/>
      <c r="AF42" s="313"/>
      <c r="AG42" s="164"/>
      <c r="AH42" s="117"/>
    </row>
    <row r="43" spans="1:34" x14ac:dyDescent="0.45">
      <c r="A43" s="117"/>
      <c r="B43" s="122"/>
      <c r="O43" s="160"/>
      <c r="X43" s="314"/>
      <c r="Y43" s="315"/>
      <c r="Z43" s="315"/>
      <c r="AA43" s="315"/>
      <c r="AB43" s="315"/>
      <c r="AC43" s="315"/>
      <c r="AD43" s="315"/>
      <c r="AE43" s="315"/>
      <c r="AF43" s="316"/>
      <c r="AG43" s="164"/>
      <c r="AH43" s="117"/>
    </row>
    <row r="44" spans="1:34" x14ac:dyDescent="0.45">
      <c r="A44" s="117"/>
      <c r="B44" s="122"/>
      <c r="O44" s="160"/>
      <c r="AG44" s="167"/>
      <c r="AH44" s="117"/>
    </row>
    <row r="45" spans="1:34" x14ac:dyDescent="0.45">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x14ac:dyDescent="0.45">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x14ac:dyDescent="0.45">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x14ac:dyDescent="0.55000000000000004">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x14ac:dyDescent="0.45">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x14ac:dyDescent="0.45">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x14ac:dyDescent="0.45">
      <c r="A51" s="117"/>
      <c r="B51" s="122"/>
      <c r="C51" s="155" t="s">
        <v>608</v>
      </c>
      <c r="G51" s="155" t="s">
        <v>609</v>
      </c>
      <c r="P51" s="130" t="s">
        <v>610</v>
      </c>
      <c r="Q51" s="131"/>
      <c r="R51" s="130"/>
      <c r="S51" s="131"/>
      <c r="T51" s="132">
        <f>T25</f>
        <v>45596</v>
      </c>
      <c r="U51" s="132">
        <f>$U$25</f>
        <v>45604</v>
      </c>
      <c r="V51" s="133" t="s">
        <v>611</v>
      </c>
      <c r="X51" s="156" t="s">
        <v>612</v>
      </c>
      <c r="AG51" s="123"/>
      <c r="AH51" s="117"/>
    </row>
    <row r="52" spans="1:34" ht="17.7" customHeight="1" x14ac:dyDescent="0.45">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299" t="s">
        <v>2032</v>
      </c>
      <c r="Y52" s="300"/>
      <c r="Z52" s="300"/>
      <c r="AA52" s="300"/>
      <c r="AB52" s="300"/>
      <c r="AC52" s="300"/>
      <c r="AD52" s="300"/>
      <c r="AE52" s="300"/>
      <c r="AF52" s="301"/>
      <c r="AG52" s="158" t="s">
        <v>636</v>
      </c>
      <c r="AH52" s="117"/>
    </row>
    <row r="53" spans="1:34" x14ac:dyDescent="0.45">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156</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156</v>
      </c>
      <c r="V53" s="26">
        <f t="shared" ref="V53:V60" si="2">U53-T53</f>
        <v>0</v>
      </c>
      <c r="W53" s="157"/>
      <c r="X53" s="302"/>
      <c r="Y53" s="303"/>
      <c r="Z53" s="303"/>
      <c r="AA53" s="303"/>
      <c r="AB53" s="303"/>
      <c r="AC53" s="303"/>
      <c r="AD53" s="303"/>
      <c r="AE53" s="303"/>
      <c r="AF53" s="304"/>
      <c r="AG53" s="158"/>
      <c r="AH53" s="117"/>
    </row>
    <row r="54" spans="1:34" x14ac:dyDescent="0.45">
      <c r="A54" s="117"/>
      <c r="B54" s="122"/>
      <c r="P54" s="26" t="s">
        <v>1931</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22</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22</v>
      </c>
      <c r="V54" s="26">
        <f t="shared" si="2"/>
        <v>0</v>
      </c>
      <c r="W54" s="157"/>
      <c r="X54" s="302"/>
      <c r="Y54" s="303"/>
      <c r="Z54" s="303"/>
      <c r="AA54" s="303"/>
      <c r="AB54" s="303"/>
      <c r="AC54" s="303"/>
      <c r="AD54" s="303"/>
      <c r="AE54" s="303"/>
      <c r="AF54" s="304"/>
      <c r="AG54" s="158"/>
      <c r="AH54" s="117"/>
    </row>
    <row r="55" spans="1:34" x14ac:dyDescent="0.45">
      <c r="A55" s="117"/>
      <c r="B55" s="122"/>
      <c r="D55" s="289" t="str">
        <f>"# "&amp;U61</f>
        <v># 245</v>
      </c>
      <c r="E55" s="289"/>
      <c r="P55" s="26" t="s">
        <v>1932</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02"/>
      <c r="Y55" s="303"/>
      <c r="Z55" s="303"/>
      <c r="AA55" s="303"/>
      <c r="AB55" s="303"/>
      <c r="AC55" s="303"/>
      <c r="AD55" s="303"/>
      <c r="AE55" s="303"/>
      <c r="AF55" s="304"/>
      <c r="AG55" s="158"/>
      <c r="AH55" s="117"/>
    </row>
    <row r="56" spans="1:34" ht="17.7" customHeight="1" x14ac:dyDescent="0.45">
      <c r="A56" s="117"/>
      <c r="B56" s="122"/>
      <c r="D56" s="289"/>
      <c r="E56" s="289"/>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02"/>
      <c r="Y56" s="303"/>
      <c r="Z56" s="303"/>
      <c r="AA56" s="303"/>
      <c r="AB56" s="303"/>
      <c r="AC56" s="303"/>
      <c r="AD56" s="303"/>
      <c r="AE56" s="303"/>
      <c r="AF56" s="304"/>
      <c r="AG56" s="158"/>
      <c r="AH56" s="117"/>
    </row>
    <row r="57" spans="1:34" ht="17.7" customHeight="1" x14ac:dyDescent="0.45">
      <c r="A57" s="117"/>
      <c r="B57" s="122"/>
      <c r="D57" s="289"/>
      <c r="E57" s="289"/>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26">
        <f t="shared" si="2"/>
        <v>0</v>
      </c>
      <c r="W57" s="157"/>
      <c r="X57" s="302"/>
      <c r="Y57" s="303"/>
      <c r="Z57" s="303"/>
      <c r="AA57" s="303"/>
      <c r="AB57" s="303"/>
      <c r="AC57" s="303"/>
      <c r="AD57" s="303"/>
      <c r="AE57" s="303"/>
      <c r="AF57" s="304"/>
      <c r="AG57" s="158"/>
      <c r="AH57" s="117"/>
    </row>
    <row r="58" spans="1:34" ht="17.7" customHeight="1" x14ac:dyDescent="0.45">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0</v>
      </c>
      <c r="W58" s="157"/>
      <c r="X58" s="302"/>
      <c r="Y58" s="303"/>
      <c r="Z58" s="303"/>
      <c r="AA58" s="303"/>
      <c r="AB58" s="303"/>
      <c r="AC58" s="303"/>
      <c r="AD58" s="303"/>
      <c r="AE58" s="303"/>
      <c r="AF58" s="304"/>
      <c r="AG58" s="158"/>
      <c r="AH58" s="117"/>
    </row>
    <row r="59" spans="1:34" x14ac:dyDescent="0.45">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53</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53</v>
      </c>
      <c r="V59" s="26">
        <f t="shared" si="2"/>
        <v>0</v>
      </c>
      <c r="X59" s="302"/>
      <c r="Y59" s="303"/>
      <c r="Z59" s="303"/>
      <c r="AA59" s="303"/>
      <c r="AB59" s="303"/>
      <c r="AC59" s="303"/>
      <c r="AD59" s="303"/>
      <c r="AE59" s="303"/>
      <c r="AF59" s="304"/>
      <c r="AG59" s="158"/>
      <c r="AH59" s="117"/>
    </row>
    <row r="60" spans="1:34" x14ac:dyDescent="0.45">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02"/>
      <c r="Y60" s="303"/>
      <c r="Z60" s="303"/>
      <c r="AA60" s="303"/>
      <c r="AB60" s="303"/>
      <c r="AC60" s="303"/>
      <c r="AD60" s="303"/>
      <c r="AE60" s="303"/>
      <c r="AF60" s="304"/>
      <c r="AG60" s="158"/>
      <c r="AH60" s="117"/>
    </row>
    <row r="61" spans="1:34" x14ac:dyDescent="0.45">
      <c r="A61" s="117"/>
      <c r="B61" s="122"/>
      <c r="T61" s="128">
        <f>SUM(T52:T60)</f>
        <v>245</v>
      </c>
      <c r="U61" s="128">
        <f>SUM(U52:U60)</f>
        <v>245</v>
      </c>
      <c r="X61" s="302"/>
      <c r="Y61" s="303"/>
      <c r="Z61" s="303"/>
      <c r="AA61" s="303"/>
      <c r="AB61" s="303"/>
      <c r="AC61" s="303"/>
      <c r="AD61" s="303"/>
      <c r="AE61" s="303"/>
      <c r="AF61" s="304"/>
      <c r="AG61" s="158"/>
      <c r="AH61" s="117"/>
    </row>
    <row r="62" spans="1:34" x14ac:dyDescent="0.45">
      <c r="A62" s="117"/>
      <c r="B62" s="122"/>
      <c r="X62" s="302"/>
      <c r="Y62" s="303"/>
      <c r="Z62" s="303"/>
      <c r="AA62" s="303"/>
      <c r="AB62" s="303"/>
      <c r="AC62" s="303"/>
      <c r="AD62" s="303"/>
      <c r="AE62" s="303"/>
      <c r="AF62" s="304"/>
      <c r="AG62" s="158"/>
      <c r="AH62" s="117"/>
    </row>
    <row r="63" spans="1:34" x14ac:dyDescent="0.45">
      <c r="A63" s="117"/>
      <c r="B63" s="122"/>
      <c r="P63" s="130" t="s">
        <v>637</v>
      </c>
      <c r="Q63" s="131"/>
      <c r="R63" s="131"/>
      <c r="S63" s="131"/>
      <c r="T63" s="131"/>
      <c r="U63" s="131"/>
      <c r="V63" s="131"/>
      <c r="X63" s="302"/>
      <c r="Y63" s="303"/>
      <c r="Z63" s="303"/>
      <c r="AA63" s="303"/>
      <c r="AB63" s="303"/>
      <c r="AC63" s="303"/>
      <c r="AD63" s="303"/>
      <c r="AE63" s="303"/>
      <c r="AF63" s="304"/>
      <c r="AG63" s="158"/>
      <c r="AH63" s="117"/>
    </row>
    <row r="64" spans="1:34" x14ac:dyDescent="0.45">
      <c r="A64" s="117"/>
      <c r="B64" s="122"/>
      <c r="O64" s="160" t="s">
        <v>622</v>
      </c>
      <c r="P64" s="26" t="s">
        <v>217</v>
      </c>
      <c r="T64" s="162" t="s">
        <v>624</v>
      </c>
      <c r="X64" s="302"/>
      <c r="Y64" s="303"/>
      <c r="Z64" s="303"/>
      <c r="AA64" s="303"/>
      <c r="AB64" s="303"/>
      <c r="AC64" s="303"/>
      <c r="AD64" s="303"/>
      <c r="AE64" s="303"/>
      <c r="AF64" s="304"/>
      <c r="AG64" s="158"/>
      <c r="AH64" s="117"/>
    </row>
    <row r="65" spans="1:34" x14ac:dyDescent="0.45">
      <c r="A65" s="117"/>
      <c r="B65" s="122"/>
      <c r="O65" s="160" t="s">
        <v>622</v>
      </c>
      <c r="P65" s="26" t="s">
        <v>216</v>
      </c>
      <c r="T65" s="162" t="s">
        <v>624</v>
      </c>
      <c r="X65" s="302"/>
      <c r="Y65" s="303"/>
      <c r="Z65" s="303"/>
      <c r="AA65" s="303"/>
      <c r="AB65" s="303"/>
      <c r="AC65" s="303"/>
      <c r="AD65" s="303"/>
      <c r="AE65" s="303"/>
      <c r="AF65" s="304"/>
      <c r="AG65" s="158"/>
      <c r="AH65" s="117"/>
    </row>
    <row r="66" spans="1:34" x14ac:dyDescent="0.45">
      <c r="A66" s="117"/>
      <c r="B66" s="122"/>
      <c r="O66" s="160" t="s">
        <v>622</v>
      </c>
      <c r="P66" s="26" t="s">
        <v>214</v>
      </c>
      <c r="T66" s="162" t="s">
        <v>624</v>
      </c>
      <c r="X66" s="302"/>
      <c r="Y66" s="303"/>
      <c r="Z66" s="303"/>
      <c r="AA66" s="303"/>
      <c r="AB66" s="303"/>
      <c r="AC66" s="303"/>
      <c r="AD66" s="303"/>
      <c r="AE66" s="303"/>
      <c r="AF66" s="304"/>
      <c r="AG66" s="158"/>
      <c r="AH66" s="117"/>
    </row>
    <row r="67" spans="1:34" x14ac:dyDescent="0.45">
      <c r="A67" s="117"/>
      <c r="B67" s="122"/>
      <c r="O67" s="160" t="s">
        <v>622</v>
      </c>
      <c r="P67" s="26" t="s">
        <v>213</v>
      </c>
      <c r="T67" s="162" t="s">
        <v>624</v>
      </c>
      <c r="X67" s="302"/>
      <c r="Y67" s="303"/>
      <c r="Z67" s="303"/>
      <c r="AA67" s="303"/>
      <c r="AB67" s="303"/>
      <c r="AC67" s="303"/>
      <c r="AD67" s="303"/>
      <c r="AE67" s="303"/>
      <c r="AF67" s="304"/>
      <c r="AG67" s="158"/>
      <c r="AH67" s="117"/>
    </row>
    <row r="68" spans="1:34" x14ac:dyDescent="0.45">
      <c r="A68" s="117"/>
      <c r="B68" s="122"/>
      <c r="O68" s="160" t="s">
        <v>622</v>
      </c>
      <c r="P68" s="26" t="s">
        <v>218</v>
      </c>
      <c r="T68" s="162" t="s">
        <v>624</v>
      </c>
      <c r="X68" s="302"/>
      <c r="Y68" s="303"/>
      <c r="Z68" s="303"/>
      <c r="AA68" s="303"/>
      <c r="AB68" s="303"/>
      <c r="AC68" s="303"/>
      <c r="AD68" s="303"/>
      <c r="AE68" s="303"/>
      <c r="AF68" s="304"/>
      <c r="AG68" s="158"/>
      <c r="AH68" s="117"/>
    </row>
    <row r="69" spans="1:34" x14ac:dyDescent="0.45">
      <c r="A69" s="117"/>
      <c r="B69" s="122"/>
      <c r="O69" s="160" t="s">
        <v>622</v>
      </c>
      <c r="P69" s="26" t="s">
        <v>219</v>
      </c>
      <c r="T69" s="162" t="s">
        <v>624</v>
      </c>
      <c r="X69" s="302"/>
      <c r="Y69" s="303"/>
      <c r="Z69" s="303"/>
      <c r="AA69" s="303"/>
      <c r="AB69" s="303"/>
      <c r="AC69" s="303"/>
      <c r="AD69" s="303"/>
      <c r="AE69" s="303"/>
      <c r="AF69" s="304"/>
      <c r="AG69" s="158"/>
      <c r="AH69" s="117"/>
    </row>
    <row r="70" spans="1:34" x14ac:dyDescent="0.45">
      <c r="A70" s="117"/>
      <c r="B70" s="122"/>
      <c r="O70" s="160" t="s">
        <v>622</v>
      </c>
      <c r="P70" s="26" t="s">
        <v>220</v>
      </c>
      <c r="T70" s="162" t="s">
        <v>624</v>
      </c>
      <c r="X70" s="302"/>
      <c r="Y70" s="303"/>
      <c r="Z70" s="303"/>
      <c r="AA70" s="303"/>
      <c r="AB70" s="303"/>
      <c r="AC70" s="303"/>
      <c r="AD70" s="303"/>
      <c r="AE70" s="303"/>
      <c r="AF70" s="304"/>
      <c r="AG70" s="158"/>
      <c r="AH70" s="117"/>
    </row>
    <row r="71" spans="1:34" x14ac:dyDescent="0.45">
      <c r="A71" s="117"/>
      <c r="B71" s="122"/>
      <c r="O71" s="160" t="s">
        <v>622</v>
      </c>
      <c r="P71" s="26" t="s">
        <v>215</v>
      </c>
      <c r="T71" s="162" t="s">
        <v>624</v>
      </c>
      <c r="X71" s="302"/>
      <c r="Y71" s="303"/>
      <c r="Z71" s="303"/>
      <c r="AA71" s="303"/>
      <c r="AB71" s="303"/>
      <c r="AC71" s="303"/>
      <c r="AD71" s="303"/>
      <c r="AE71" s="303"/>
      <c r="AF71" s="304"/>
      <c r="AG71" s="158"/>
      <c r="AH71" s="117"/>
    </row>
    <row r="72" spans="1:34" x14ac:dyDescent="0.45">
      <c r="A72" s="117"/>
      <c r="B72" s="122"/>
      <c r="O72" s="160" t="s">
        <v>622</v>
      </c>
      <c r="P72" s="26" t="s">
        <v>182</v>
      </c>
      <c r="T72" s="166" t="s">
        <v>638</v>
      </c>
      <c r="X72" s="302"/>
      <c r="Y72" s="303"/>
      <c r="Z72" s="303"/>
      <c r="AA72" s="303"/>
      <c r="AB72" s="303"/>
      <c r="AC72" s="303"/>
      <c r="AD72" s="303"/>
      <c r="AE72" s="303"/>
      <c r="AF72" s="304"/>
      <c r="AG72" s="158"/>
      <c r="AH72" s="117"/>
    </row>
    <row r="73" spans="1:34" x14ac:dyDescent="0.45">
      <c r="A73" s="117"/>
      <c r="B73" s="122"/>
      <c r="O73" s="160" t="s">
        <v>622</v>
      </c>
      <c r="P73" s="178" t="s">
        <v>639</v>
      </c>
      <c r="T73" s="166" t="s">
        <v>640</v>
      </c>
      <c r="X73" s="302"/>
      <c r="Y73" s="303"/>
      <c r="Z73" s="303"/>
      <c r="AA73" s="303"/>
      <c r="AB73" s="303"/>
      <c r="AC73" s="303"/>
      <c r="AD73" s="303"/>
      <c r="AE73" s="303"/>
      <c r="AF73" s="304"/>
      <c r="AG73" s="158"/>
      <c r="AH73" s="117"/>
    </row>
    <row r="74" spans="1:34" x14ac:dyDescent="0.45">
      <c r="A74" s="117"/>
      <c r="B74" s="122"/>
      <c r="P74" s="159"/>
      <c r="X74" s="302"/>
      <c r="Y74" s="303"/>
      <c r="Z74" s="303"/>
      <c r="AA74" s="303"/>
      <c r="AB74" s="303"/>
      <c r="AC74" s="303"/>
      <c r="AD74" s="303"/>
      <c r="AE74" s="303"/>
      <c r="AF74" s="304"/>
      <c r="AG74" s="158"/>
      <c r="AH74" s="117"/>
    </row>
    <row r="75" spans="1:34" x14ac:dyDescent="0.45">
      <c r="A75" s="117"/>
      <c r="B75" s="122"/>
      <c r="P75" s="130" t="s">
        <v>641</v>
      </c>
      <c r="Q75" s="131"/>
      <c r="R75" s="131"/>
      <c r="S75" s="131"/>
      <c r="T75" s="131"/>
      <c r="U75" s="131"/>
      <c r="V75" s="131"/>
      <c r="X75" s="302"/>
      <c r="Y75" s="303"/>
      <c r="Z75" s="303"/>
      <c r="AA75" s="303"/>
      <c r="AB75" s="303"/>
      <c r="AC75" s="303"/>
      <c r="AD75" s="303"/>
      <c r="AE75" s="303"/>
      <c r="AF75" s="304"/>
      <c r="AG75" s="158"/>
      <c r="AH75" s="117"/>
    </row>
    <row r="76" spans="1:34" x14ac:dyDescent="0.45">
      <c r="A76" s="117"/>
      <c r="B76" s="122"/>
      <c r="O76" s="160" t="s">
        <v>622</v>
      </c>
      <c r="P76" s="26" t="s">
        <v>642</v>
      </c>
      <c r="T76" s="166" t="s">
        <v>638</v>
      </c>
      <c r="X76" s="302"/>
      <c r="Y76" s="303"/>
      <c r="Z76" s="303"/>
      <c r="AA76" s="303"/>
      <c r="AB76" s="303"/>
      <c r="AC76" s="303"/>
      <c r="AD76" s="303"/>
      <c r="AE76" s="303"/>
      <c r="AF76" s="304"/>
      <c r="AG76" s="158"/>
      <c r="AH76" s="117"/>
    </row>
    <row r="77" spans="1:34" x14ac:dyDescent="0.45">
      <c r="A77" s="117"/>
      <c r="B77" s="122"/>
      <c r="O77" s="160" t="s">
        <v>622</v>
      </c>
      <c r="P77" s="26" t="s">
        <v>312</v>
      </c>
      <c r="T77" s="162" t="s">
        <v>643</v>
      </c>
      <c r="X77" s="302"/>
      <c r="Y77" s="303"/>
      <c r="Z77" s="303"/>
      <c r="AA77" s="303"/>
      <c r="AB77" s="303"/>
      <c r="AC77" s="303"/>
      <c r="AD77" s="303"/>
      <c r="AE77" s="303"/>
      <c r="AF77" s="304"/>
      <c r="AG77" s="158"/>
      <c r="AH77" s="117"/>
    </row>
    <row r="78" spans="1:34" x14ac:dyDescent="0.45">
      <c r="A78" s="117"/>
      <c r="B78" s="122"/>
      <c r="O78" s="160" t="s">
        <v>622</v>
      </c>
      <c r="P78" s="26" t="s">
        <v>326</v>
      </c>
      <c r="T78" s="162" t="s">
        <v>624</v>
      </c>
      <c r="X78" s="302"/>
      <c r="Y78" s="303"/>
      <c r="Z78" s="303"/>
      <c r="AA78" s="303"/>
      <c r="AB78" s="303"/>
      <c r="AC78" s="303"/>
      <c r="AD78" s="303"/>
      <c r="AE78" s="303"/>
      <c r="AF78" s="304"/>
      <c r="AG78" s="158"/>
      <c r="AH78" s="117"/>
    </row>
    <row r="79" spans="1:34" x14ac:dyDescent="0.45">
      <c r="A79" s="117"/>
      <c r="B79" s="122"/>
      <c r="O79" s="160" t="s">
        <v>622</v>
      </c>
      <c r="P79" s="26" t="s">
        <v>334</v>
      </c>
      <c r="T79" s="166" t="s">
        <v>638</v>
      </c>
      <c r="X79" s="302"/>
      <c r="Y79" s="303"/>
      <c r="Z79" s="303"/>
      <c r="AA79" s="303"/>
      <c r="AB79" s="303"/>
      <c r="AC79" s="303"/>
      <c r="AD79" s="303"/>
      <c r="AE79" s="303"/>
      <c r="AF79" s="304"/>
      <c r="AG79" s="158"/>
      <c r="AH79" s="117"/>
    </row>
    <row r="80" spans="1:34" x14ac:dyDescent="0.45">
      <c r="A80" s="117"/>
      <c r="B80" s="122"/>
      <c r="O80" s="160"/>
      <c r="T80" s="161"/>
      <c r="X80" s="305"/>
      <c r="Y80" s="306"/>
      <c r="Z80" s="306"/>
      <c r="AA80" s="306"/>
      <c r="AB80" s="306"/>
      <c r="AC80" s="306"/>
      <c r="AD80" s="306"/>
      <c r="AE80" s="306"/>
      <c r="AF80" s="307"/>
      <c r="AG80" s="158"/>
      <c r="AH80" s="117"/>
    </row>
    <row r="81" spans="1:34" x14ac:dyDescent="0.45">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x14ac:dyDescent="0.45">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x14ac:dyDescent="0.55000000000000004">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x14ac:dyDescent="0.45">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x14ac:dyDescent="0.45">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x14ac:dyDescent="0.45">
      <c r="A86" s="117"/>
      <c r="B86" s="122"/>
      <c r="C86" s="155" t="s">
        <v>608</v>
      </c>
      <c r="G86" s="155" t="s">
        <v>609</v>
      </c>
      <c r="P86" s="130" t="s">
        <v>610</v>
      </c>
      <c r="Q86" s="131"/>
      <c r="R86" s="130"/>
      <c r="S86" s="131"/>
      <c r="T86" s="132">
        <f>T25</f>
        <v>45596</v>
      </c>
      <c r="U86" s="132">
        <f>$U$25</f>
        <v>45604</v>
      </c>
      <c r="V86" s="133" t="s">
        <v>611</v>
      </c>
      <c r="X86" s="156" t="s">
        <v>612</v>
      </c>
      <c r="AG86" s="123"/>
      <c r="AH86" s="117"/>
    </row>
    <row r="87" spans="1:34" ht="18" customHeight="1" x14ac:dyDescent="0.45">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17" t="s">
        <v>2034</v>
      </c>
      <c r="Y87" s="317"/>
      <c r="Z87" s="317"/>
      <c r="AA87" s="317"/>
      <c r="AB87" s="317"/>
      <c r="AC87" s="317"/>
      <c r="AD87" s="317"/>
      <c r="AE87" s="317"/>
      <c r="AF87" s="317"/>
      <c r="AG87" s="163"/>
      <c r="AH87" s="117"/>
    </row>
    <row r="88" spans="1:34" x14ac:dyDescent="0.45">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18"/>
      <c r="Y88" s="318"/>
      <c r="Z88" s="318"/>
      <c r="AA88" s="318"/>
      <c r="AB88" s="318"/>
      <c r="AC88" s="318"/>
      <c r="AD88" s="318"/>
      <c r="AE88" s="318"/>
      <c r="AF88" s="318"/>
      <c r="AG88" s="163"/>
      <c r="AH88" s="117"/>
    </row>
    <row r="89" spans="1:34" x14ac:dyDescent="0.45">
      <c r="A89" s="117"/>
      <c r="B89" s="122"/>
      <c r="P89" s="26" t="s">
        <v>1931</v>
      </c>
      <c r="T89" s="26">
        <f>COUNTIFS(Table4[Status Anterior],'1. Status Resumo'!$P89,Table4[Sub-âmbito],'1. Status Resumo'!$G$83,Table4[Tipo de teste],"2. Campo")</f>
        <v>6</v>
      </c>
      <c r="U89" s="26">
        <f>COUNTIFS(Table4[Status Atual],'1. Status Resumo'!$P89,Table4[Sub-âmbito],'1. Status Resumo'!$G$83,Table4[Tipo de teste],"2. Campo")</f>
        <v>6</v>
      </c>
      <c r="V89" s="26">
        <f t="shared" si="4"/>
        <v>0</v>
      </c>
      <c r="X89" s="318"/>
      <c r="Y89" s="318"/>
      <c r="Z89" s="318"/>
      <c r="AA89" s="318"/>
      <c r="AB89" s="318"/>
      <c r="AC89" s="318"/>
      <c r="AD89" s="318"/>
      <c r="AE89" s="318"/>
      <c r="AF89" s="318"/>
      <c r="AG89" s="163"/>
      <c r="AH89" s="117"/>
    </row>
    <row r="90" spans="1:34" ht="17.7" customHeight="1" x14ac:dyDescent="0.45">
      <c r="A90" s="117"/>
      <c r="B90" s="122"/>
      <c r="D90" s="289" t="str">
        <f>"# "&amp;U96</f>
        <v># 135</v>
      </c>
      <c r="E90" s="289"/>
      <c r="P90" s="26" t="s">
        <v>1932</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18"/>
      <c r="Y90" s="318"/>
      <c r="Z90" s="318"/>
      <c r="AA90" s="318"/>
      <c r="AB90" s="318"/>
      <c r="AC90" s="318"/>
      <c r="AD90" s="318"/>
      <c r="AE90" s="318"/>
      <c r="AF90" s="318"/>
      <c r="AG90" s="163"/>
      <c r="AH90" s="117"/>
    </row>
    <row r="91" spans="1:34" ht="17.7" customHeight="1" x14ac:dyDescent="0.45">
      <c r="A91" s="117"/>
      <c r="B91" s="122"/>
      <c r="D91" s="289"/>
      <c r="E91" s="289"/>
      <c r="P91" s="26" t="s">
        <v>615</v>
      </c>
      <c r="T91" s="26">
        <f>COUNTIFS(Table4[Status Anterior],'1. Status Resumo'!$P91,Table4[Sub-âmbito],'1. Status Resumo'!$G$83,Table4[Tipo de teste],"2. Campo")</f>
        <v>26</v>
      </c>
      <c r="U91" s="26">
        <f>COUNTIFS(Table4[Status Atual],'1. Status Resumo'!$P91,Table4[Sub-âmbito],'1. Status Resumo'!$G$83,Table4[Tipo de teste],"2. Campo")</f>
        <v>26</v>
      </c>
      <c r="V91" s="26">
        <f t="shared" si="4"/>
        <v>0</v>
      </c>
      <c r="X91" s="318"/>
      <c r="Y91" s="318"/>
      <c r="Z91" s="318"/>
      <c r="AA91" s="318"/>
      <c r="AB91" s="318"/>
      <c r="AC91" s="318"/>
      <c r="AD91" s="318"/>
      <c r="AE91" s="318"/>
      <c r="AF91" s="318"/>
      <c r="AG91" s="163"/>
      <c r="AH91" s="117"/>
    </row>
    <row r="92" spans="1:34" ht="17.7" customHeight="1" x14ac:dyDescent="0.45">
      <c r="A92" s="117"/>
      <c r="B92" s="122"/>
      <c r="D92" s="289"/>
      <c r="E92" s="289"/>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18"/>
      <c r="Y92" s="318"/>
      <c r="Z92" s="318"/>
      <c r="AA92" s="318"/>
      <c r="AB92" s="318"/>
      <c r="AC92" s="318"/>
      <c r="AD92" s="318"/>
      <c r="AE92" s="318"/>
      <c r="AF92" s="318"/>
      <c r="AG92" s="163"/>
      <c r="AH92" s="117"/>
    </row>
    <row r="93" spans="1:34" x14ac:dyDescent="0.45">
      <c r="A93" s="117"/>
      <c r="B93" s="122"/>
      <c r="D93" s="289"/>
      <c r="E93" s="289"/>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18"/>
      <c r="Y93" s="318"/>
      <c r="Z93" s="318"/>
      <c r="AA93" s="318"/>
      <c r="AB93" s="318"/>
      <c r="AC93" s="318"/>
      <c r="AD93" s="318"/>
      <c r="AE93" s="318"/>
      <c r="AF93" s="318"/>
      <c r="AG93" s="163"/>
      <c r="AH93" s="117"/>
    </row>
    <row r="94" spans="1:34" x14ac:dyDescent="0.45">
      <c r="A94" s="117"/>
      <c r="B94" s="122"/>
      <c r="D94" s="289"/>
      <c r="E94" s="289"/>
      <c r="P94" s="26" t="s">
        <v>619</v>
      </c>
      <c r="T94" s="26">
        <f>COUNTIFS(Table4[Status Anterior],'1. Status Resumo'!$P94,Table4[Sub-âmbito],'1. Status Resumo'!$G$83,Table4[Tipo de teste],"2. Campo")</f>
        <v>49</v>
      </c>
      <c r="U94" s="26">
        <f>COUNTIFS(Table4[Status Atual],'1. Status Resumo'!$P94,Table4[Sub-âmbito],'1. Status Resumo'!$G$83,Table4[Tipo de teste],"2. Campo")</f>
        <v>49</v>
      </c>
      <c r="V94" s="26">
        <f t="shared" si="4"/>
        <v>0</v>
      </c>
      <c r="X94" s="318"/>
      <c r="Y94" s="318"/>
      <c r="Z94" s="318"/>
      <c r="AA94" s="318"/>
      <c r="AB94" s="318"/>
      <c r="AC94" s="318"/>
      <c r="AD94" s="318"/>
      <c r="AE94" s="318"/>
      <c r="AF94" s="318"/>
      <c r="AG94" s="163"/>
      <c r="AH94" s="117"/>
    </row>
    <row r="95" spans="1:34" x14ac:dyDescent="0.45">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18"/>
      <c r="Y95" s="318"/>
      <c r="Z95" s="318"/>
      <c r="AA95" s="318"/>
      <c r="AB95" s="318"/>
      <c r="AC95" s="318"/>
      <c r="AD95" s="318"/>
      <c r="AE95" s="318"/>
      <c r="AF95" s="318"/>
      <c r="AG95" s="163"/>
      <c r="AH95" s="117"/>
    </row>
    <row r="96" spans="1:34" x14ac:dyDescent="0.45">
      <c r="A96" s="117"/>
      <c r="B96" s="122"/>
      <c r="T96" s="128">
        <f>SUM(T87:T95)</f>
        <v>135</v>
      </c>
      <c r="U96" s="128">
        <f>SUM(U87:U95)</f>
        <v>135</v>
      </c>
      <c r="X96" s="318"/>
      <c r="Y96" s="318"/>
      <c r="Z96" s="318"/>
      <c r="AA96" s="318"/>
      <c r="AB96" s="318"/>
      <c r="AC96" s="318"/>
      <c r="AD96" s="318"/>
      <c r="AE96" s="318"/>
      <c r="AF96" s="318"/>
      <c r="AG96" s="163"/>
      <c r="AH96" s="117"/>
    </row>
    <row r="97" spans="1:34" x14ac:dyDescent="0.45">
      <c r="A97" s="117"/>
      <c r="B97" s="122"/>
      <c r="T97" s="128"/>
      <c r="U97" s="128"/>
      <c r="X97" s="318"/>
      <c r="Y97" s="318"/>
      <c r="Z97" s="318"/>
      <c r="AA97" s="318"/>
      <c r="AB97" s="318"/>
      <c r="AC97" s="318"/>
      <c r="AD97" s="318"/>
      <c r="AE97" s="318"/>
      <c r="AF97" s="318"/>
      <c r="AG97" s="163"/>
      <c r="AH97" s="117"/>
    </row>
    <row r="98" spans="1:34" x14ac:dyDescent="0.45">
      <c r="A98" s="117"/>
      <c r="B98" s="122"/>
      <c r="P98" s="130" t="s">
        <v>620</v>
      </c>
      <c r="Q98" s="131"/>
      <c r="R98" s="131"/>
      <c r="S98" s="131"/>
      <c r="T98" s="131"/>
      <c r="U98" s="131"/>
      <c r="V98" s="131"/>
      <c r="X98" s="318"/>
      <c r="Y98" s="318"/>
      <c r="Z98" s="318"/>
      <c r="AA98" s="318"/>
      <c r="AB98" s="318"/>
      <c r="AC98" s="318"/>
      <c r="AD98" s="318"/>
      <c r="AE98" s="318"/>
      <c r="AF98" s="318"/>
      <c r="AG98" s="163"/>
      <c r="AH98" s="117"/>
    </row>
    <row r="99" spans="1:34" x14ac:dyDescent="0.45">
      <c r="A99" s="117"/>
      <c r="B99" s="122"/>
      <c r="O99" s="160" t="s">
        <v>622</v>
      </c>
      <c r="P99" s="26" t="s">
        <v>380</v>
      </c>
      <c r="T99" s="207" t="s">
        <v>1934</v>
      </c>
      <c r="X99" s="318"/>
      <c r="Y99" s="318"/>
      <c r="Z99" s="318"/>
      <c r="AA99" s="318"/>
      <c r="AB99" s="318"/>
      <c r="AC99" s="318"/>
      <c r="AD99" s="318"/>
      <c r="AE99" s="318"/>
      <c r="AF99" s="318"/>
      <c r="AG99" s="163"/>
      <c r="AH99" s="117"/>
    </row>
    <row r="100" spans="1:34" x14ac:dyDescent="0.45">
      <c r="A100" s="117"/>
      <c r="B100" s="122"/>
      <c r="O100" s="160" t="s">
        <v>622</v>
      </c>
      <c r="P100" s="26" t="s">
        <v>336</v>
      </c>
      <c r="T100" s="207" t="s">
        <v>1934</v>
      </c>
      <c r="X100" s="318"/>
      <c r="Y100" s="318"/>
      <c r="Z100" s="318"/>
      <c r="AA100" s="318"/>
      <c r="AB100" s="318"/>
      <c r="AC100" s="318"/>
      <c r="AD100" s="318"/>
      <c r="AE100" s="318"/>
      <c r="AF100" s="318"/>
      <c r="AG100" s="163"/>
      <c r="AH100" s="117"/>
    </row>
    <row r="101" spans="1:34" x14ac:dyDescent="0.45">
      <c r="A101" s="117"/>
      <c r="B101" s="122"/>
      <c r="O101" s="160" t="s">
        <v>622</v>
      </c>
      <c r="P101" s="26" t="s">
        <v>369</v>
      </c>
      <c r="T101" s="207" t="s">
        <v>1934</v>
      </c>
      <c r="X101" s="318"/>
      <c r="Y101" s="318"/>
      <c r="Z101" s="318"/>
      <c r="AA101" s="318"/>
      <c r="AB101" s="318"/>
      <c r="AC101" s="318"/>
      <c r="AD101" s="318"/>
      <c r="AE101" s="318"/>
      <c r="AF101" s="318"/>
      <c r="AG101" s="163"/>
      <c r="AH101" s="117"/>
    </row>
    <row r="102" spans="1:34" x14ac:dyDescent="0.45">
      <c r="A102" s="117"/>
      <c r="B102" s="122"/>
      <c r="O102" s="160" t="s">
        <v>622</v>
      </c>
      <c r="P102" s="26" t="s">
        <v>440</v>
      </c>
      <c r="T102" s="162" t="s">
        <v>624</v>
      </c>
      <c r="X102" s="318"/>
      <c r="Y102" s="318"/>
      <c r="Z102" s="318"/>
      <c r="AA102" s="318"/>
      <c r="AB102" s="318"/>
      <c r="AC102" s="318"/>
      <c r="AD102" s="318"/>
      <c r="AE102" s="318"/>
      <c r="AF102" s="318"/>
      <c r="AG102" s="163"/>
      <c r="AH102" s="117"/>
    </row>
    <row r="103" spans="1:34" x14ac:dyDescent="0.45">
      <c r="A103" s="117"/>
      <c r="B103" s="122"/>
      <c r="O103" s="160" t="s">
        <v>622</v>
      </c>
      <c r="P103" s="26" t="s">
        <v>442</v>
      </c>
      <c r="T103" s="162" t="s">
        <v>624</v>
      </c>
      <c r="X103" s="318"/>
      <c r="Y103" s="318"/>
      <c r="Z103" s="318"/>
      <c r="AA103" s="318"/>
      <c r="AB103" s="318"/>
      <c r="AC103" s="318"/>
      <c r="AD103" s="318"/>
      <c r="AE103" s="318"/>
      <c r="AF103" s="318"/>
      <c r="AG103" s="163"/>
      <c r="AH103" s="117"/>
    </row>
    <row r="104" spans="1:34" x14ac:dyDescent="0.45">
      <c r="A104" s="117"/>
      <c r="B104" s="122"/>
      <c r="O104" s="160" t="s">
        <v>622</v>
      </c>
      <c r="P104" s="26" t="s">
        <v>1965</v>
      </c>
      <c r="T104" s="288" t="s">
        <v>633</v>
      </c>
      <c r="X104" s="318"/>
      <c r="Y104" s="318"/>
      <c r="Z104" s="318"/>
      <c r="AA104" s="318"/>
      <c r="AB104" s="318"/>
      <c r="AC104" s="318"/>
      <c r="AD104" s="318"/>
      <c r="AE104" s="318"/>
      <c r="AF104" s="318"/>
      <c r="AG104" s="163"/>
      <c r="AH104" s="117"/>
    </row>
    <row r="105" spans="1:34" x14ac:dyDescent="0.45">
      <c r="A105" s="117"/>
      <c r="B105" s="122"/>
      <c r="O105" s="160" t="s">
        <v>622</v>
      </c>
      <c r="P105" s="26" t="s">
        <v>1966</v>
      </c>
      <c r="T105" s="288" t="s">
        <v>633</v>
      </c>
      <c r="X105" s="318"/>
      <c r="Y105" s="318"/>
      <c r="Z105" s="318"/>
      <c r="AA105" s="318"/>
      <c r="AB105" s="318"/>
      <c r="AC105" s="318"/>
      <c r="AD105" s="318"/>
      <c r="AE105" s="318"/>
      <c r="AF105" s="318"/>
      <c r="AG105" s="163"/>
      <c r="AH105" s="117"/>
    </row>
    <row r="106" spans="1:34" x14ac:dyDescent="0.45">
      <c r="A106" s="117"/>
      <c r="B106" s="122"/>
      <c r="O106" s="160" t="s">
        <v>622</v>
      </c>
      <c r="P106" s="26" t="s">
        <v>393</v>
      </c>
      <c r="T106" s="162" t="s">
        <v>624</v>
      </c>
      <c r="X106" s="318"/>
      <c r="Y106" s="318"/>
      <c r="Z106" s="318"/>
      <c r="AA106" s="318"/>
      <c r="AB106" s="318"/>
      <c r="AC106" s="318"/>
      <c r="AD106" s="318"/>
      <c r="AE106" s="318"/>
      <c r="AF106" s="318"/>
      <c r="AG106" s="163"/>
      <c r="AH106" s="117"/>
    </row>
    <row r="107" spans="1:34" x14ac:dyDescent="0.45">
      <c r="A107" s="117"/>
      <c r="B107" s="122"/>
      <c r="O107" s="160"/>
      <c r="T107" s="162"/>
      <c r="X107" s="318"/>
      <c r="Y107" s="318"/>
      <c r="Z107" s="318"/>
      <c r="AA107" s="318"/>
      <c r="AB107" s="318"/>
      <c r="AC107" s="318"/>
      <c r="AD107" s="318"/>
      <c r="AE107" s="318"/>
      <c r="AF107" s="318"/>
      <c r="AG107" s="163"/>
      <c r="AH107" s="117"/>
    </row>
    <row r="108" spans="1:34" x14ac:dyDescent="0.45">
      <c r="A108" s="117"/>
      <c r="B108" s="122"/>
      <c r="O108" s="160"/>
      <c r="T108" s="162"/>
      <c r="X108" s="318"/>
      <c r="Y108" s="318"/>
      <c r="Z108" s="318"/>
      <c r="AA108" s="318"/>
      <c r="AB108" s="318"/>
      <c r="AC108" s="318"/>
      <c r="AD108" s="318"/>
      <c r="AE108" s="318"/>
      <c r="AF108" s="318"/>
      <c r="AG108" s="163"/>
      <c r="AH108" s="117"/>
    </row>
    <row r="109" spans="1:34" x14ac:dyDescent="0.45">
      <c r="A109" s="117"/>
      <c r="B109" s="122"/>
      <c r="O109" s="160"/>
      <c r="T109" s="162"/>
      <c r="X109" s="318"/>
      <c r="Y109" s="318"/>
      <c r="Z109" s="318"/>
      <c r="AA109" s="318"/>
      <c r="AB109" s="318"/>
      <c r="AC109" s="318"/>
      <c r="AD109" s="318"/>
      <c r="AE109" s="318"/>
      <c r="AF109" s="318"/>
      <c r="AG109" s="163"/>
      <c r="AH109" s="117"/>
    </row>
    <row r="110" spans="1:34" x14ac:dyDescent="0.45">
      <c r="A110" s="117"/>
      <c r="B110" s="122"/>
      <c r="O110" s="160"/>
      <c r="T110" s="162"/>
      <c r="X110" s="318"/>
      <c r="Y110" s="318"/>
      <c r="Z110" s="318"/>
      <c r="AA110" s="318"/>
      <c r="AB110" s="318"/>
      <c r="AC110" s="318"/>
      <c r="AD110" s="318"/>
      <c r="AE110" s="318"/>
      <c r="AF110" s="318"/>
      <c r="AG110" s="163"/>
      <c r="AH110" s="117"/>
    </row>
    <row r="111" spans="1:34" x14ac:dyDescent="0.45">
      <c r="A111" s="117"/>
      <c r="B111" s="122"/>
      <c r="X111" s="319"/>
      <c r="Y111" s="319"/>
      <c r="Z111" s="319"/>
      <c r="AA111" s="319"/>
      <c r="AB111" s="319"/>
      <c r="AC111" s="319"/>
      <c r="AD111" s="319"/>
      <c r="AE111" s="319"/>
      <c r="AF111" s="319"/>
      <c r="AG111" s="163"/>
      <c r="AH111" s="117"/>
    </row>
    <row r="112" spans="1:34" x14ac:dyDescent="0.45">
      <c r="A112" s="117"/>
      <c r="B112" s="122"/>
      <c r="O112" s="160"/>
      <c r="T112" s="162"/>
      <c r="X112" s="120"/>
      <c r="Y112" s="120"/>
      <c r="Z112" s="120"/>
      <c r="AA112" s="120"/>
      <c r="AB112" s="120"/>
      <c r="AC112" s="120"/>
      <c r="AD112" s="120"/>
      <c r="AE112" s="120"/>
      <c r="AF112" s="120"/>
      <c r="AG112" s="123"/>
      <c r="AH112" s="117"/>
    </row>
    <row r="113" spans="1:34" x14ac:dyDescent="0.45">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x14ac:dyDescent="0.4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x14ac:dyDescent="0.4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x14ac:dyDescent="0.4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x14ac:dyDescent="0.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x14ac:dyDescent="0.4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x14ac:dyDescent="0.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x14ac:dyDescent="0.4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x14ac:dyDescent="0.4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x14ac:dyDescent="0.4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x14ac:dyDescent="0.4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x14ac:dyDescent="0.4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x14ac:dyDescent="0.4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x14ac:dyDescent="0.4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x14ac:dyDescent="0.4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x14ac:dyDescent="0.4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x14ac:dyDescent="0.4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x14ac:dyDescent="0.4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x14ac:dyDescent="0.4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x14ac:dyDescent="0.4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x14ac:dyDescent="0.4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x14ac:dyDescent="0.4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x14ac:dyDescent="0.4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x14ac:dyDescent="0.4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x14ac:dyDescent="0.4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x14ac:dyDescent="0.4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x14ac:dyDescent="0.4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x14ac:dyDescent="0.4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x14ac:dyDescent="0.4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x14ac:dyDescent="0.45">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x14ac:dyDescent="0.45">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x14ac:dyDescent="0.45"/>
    <row r="145" s="205" customFormat="1" hidden="1" x14ac:dyDescent="0.45"/>
    <row r="146" s="205" customFormat="1" hidden="1" x14ac:dyDescent="0.45"/>
    <row r="147" s="205" customFormat="1" hidden="1" x14ac:dyDescent="0.45"/>
  </sheetData>
  <sortState xmlns:xlrd2="http://schemas.microsoft.com/office/spreadsheetml/2017/richdata2"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N574"/>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E6" sqref="E6"/>
    </sheetView>
  </sheetViews>
  <sheetFormatPr defaultColWidth="8.69921875"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x14ac:dyDescent="0.45">
      <c r="A1" s="26"/>
      <c r="B1" s="26"/>
      <c r="C1" s="26"/>
      <c r="D1" s="26"/>
      <c r="E1" s="26"/>
      <c r="F1" s="26"/>
      <c r="G1" s="26"/>
      <c r="H1" s="26"/>
      <c r="I1" s="26"/>
      <c r="J1" s="26"/>
      <c r="K1" s="26"/>
      <c r="L1" s="26"/>
      <c r="M1" s="26"/>
      <c r="N1" s="26"/>
    </row>
    <row r="2" spans="1:14" ht="17.399999999999999" x14ac:dyDescent="0.45">
      <c r="A2" s="26"/>
      <c r="B2" s="26"/>
      <c r="C2" s="26"/>
      <c r="D2" s="26"/>
      <c r="E2" s="26"/>
      <c r="F2" s="26"/>
      <c r="G2" s="26"/>
      <c r="H2" s="26"/>
      <c r="I2" s="26"/>
      <c r="J2" s="26"/>
      <c r="K2" s="26"/>
      <c r="L2" s="26"/>
      <c r="M2" s="26"/>
      <c r="N2" s="26"/>
    </row>
    <row r="3" spans="1:14" ht="17.399999999999999" x14ac:dyDescent="0.45">
      <c r="A3" s="26"/>
      <c r="B3" s="26"/>
      <c r="C3" s="26"/>
      <c r="D3" s="26"/>
      <c r="E3" s="26"/>
      <c r="F3" s="26"/>
      <c r="G3" s="26"/>
      <c r="H3" s="26"/>
      <c r="I3" s="26"/>
      <c r="J3" s="26"/>
      <c r="K3" s="26"/>
      <c r="L3" s="26"/>
      <c r="M3" s="26"/>
      <c r="N3" s="26"/>
    </row>
    <row r="4" spans="1:14" ht="4.95" customHeight="1" x14ac:dyDescent="0.45">
      <c r="A4" s="115"/>
      <c r="B4" s="115"/>
      <c r="C4" s="115"/>
      <c r="D4" s="115"/>
      <c r="E4" s="115"/>
      <c r="F4" s="115"/>
      <c r="G4" s="115"/>
      <c r="H4" s="115"/>
      <c r="I4" s="115"/>
      <c r="J4" s="115"/>
      <c r="K4" s="115"/>
      <c r="L4" s="115"/>
      <c r="M4" s="115"/>
      <c r="N4" s="115"/>
    </row>
    <row r="6" spans="1:14" ht="17.399999999999999" x14ac:dyDescent="0.25">
      <c r="B6" s="212" t="s">
        <v>8</v>
      </c>
      <c r="C6" s="213" t="s">
        <v>9</v>
      </c>
      <c r="D6" s="213" t="s">
        <v>10</v>
      </c>
      <c r="E6" s="213" t="s">
        <v>11</v>
      </c>
      <c r="F6" s="213" t="s">
        <v>12</v>
      </c>
      <c r="G6" s="213" t="s">
        <v>645</v>
      </c>
      <c r="H6" s="213" t="s">
        <v>646</v>
      </c>
      <c r="I6" s="214" t="s">
        <v>22</v>
      </c>
      <c r="J6" s="215" t="s">
        <v>647</v>
      </c>
      <c r="K6" s="215" t="s">
        <v>648</v>
      </c>
      <c r="L6" s="216" t="s">
        <v>649</v>
      </c>
      <c r="M6" s="217" t="s">
        <v>1936</v>
      </c>
      <c r="N6" s="218" t="s">
        <v>1937</v>
      </c>
    </row>
    <row r="7" spans="1:14" ht="16.2" customHeight="1" x14ac:dyDescent="0.4">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1933</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x14ac:dyDescent="0.4">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1933</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x14ac:dyDescent="0.4">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1933</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x14ac:dyDescent="0.4">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1933</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x14ac:dyDescent="0.4">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1933</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x14ac:dyDescent="0.4">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1933</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x14ac:dyDescent="0.4">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1933</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x14ac:dyDescent="0.4">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1933</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x14ac:dyDescent="0.4">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1933</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x14ac:dyDescent="0.4">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1933</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x14ac:dyDescent="0.4">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1933</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x14ac:dyDescent="0.4">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1933</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x14ac:dyDescent="0.4">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1933</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x14ac:dyDescent="0.4">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x14ac:dyDescent="0.4">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x14ac:dyDescent="0.4">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x14ac:dyDescent="0.4">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x14ac:dyDescent="0.4">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x14ac:dyDescent="0.4">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x14ac:dyDescent="0.4">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x14ac:dyDescent="0.4">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x14ac:dyDescent="0.4">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x14ac:dyDescent="0.4">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x14ac:dyDescent="0.4">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x14ac:dyDescent="0.4">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x14ac:dyDescent="0.4">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x14ac:dyDescent="0.4">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x14ac:dyDescent="0.4">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x14ac:dyDescent="0.4">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x14ac:dyDescent="0.4">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x14ac:dyDescent="0.4">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x14ac:dyDescent="0.4">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x14ac:dyDescent="0.4">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x14ac:dyDescent="0.4">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x14ac:dyDescent="0.4">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x14ac:dyDescent="0.4">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x14ac:dyDescent="0.4">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x14ac:dyDescent="0.4">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x14ac:dyDescent="0.4">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x14ac:dyDescent="0.4">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x14ac:dyDescent="0.4">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x14ac:dyDescent="0.4">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x14ac:dyDescent="0.4">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x14ac:dyDescent="0.4">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x14ac:dyDescent="0.4">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x14ac:dyDescent="0.4">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x14ac:dyDescent="0.4">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x14ac:dyDescent="0.4">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x14ac:dyDescent="0.4">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x14ac:dyDescent="0.4">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x14ac:dyDescent="0.4">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x14ac:dyDescent="0.4">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x14ac:dyDescent="0.4">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x14ac:dyDescent="0.4">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x14ac:dyDescent="0.4">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x14ac:dyDescent="0.4">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x14ac:dyDescent="0.4">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x14ac:dyDescent="0.4">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x14ac:dyDescent="0.4">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x14ac:dyDescent="0.4">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x14ac:dyDescent="0.4">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x14ac:dyDescent="0.4">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x14ac:dyDescent="0.4">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x14ac:dyDescent="0.4">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x14ac:dyDescent="0.4">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x14ac:dyDescent="0.4">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x14ac:dyDescent="0.4">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x14ac:dyDescent="0.4">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x14ac:dyDescent="0.4">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x14ac:dyDescent="0.4">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x14ac:dyDescent="0.4">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x14ac:dyDescent="0.4">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x14ac:dyDescent="0.4">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x14ac:dyDescent="0.4">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x14ac:dyDescent="0.4">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x14ac:dyDescent="0.4">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x14ac:dyDescent="0.4">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x14ac:dyDescent="0.4">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x14ac:dyDescent="0.4">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x14ac:dyDescent="0.4">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x14ac:dyDescent="0.4">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x14ac:dyDescent="0.4">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x14ac:dyDescent="0.4">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x14ac:dyDescent="0.4">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x14ac:dyDescent="0.4">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x14ac:dyDescent="0.4">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x14ac:dyDescent="0.4">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x14ac:dyDescent="0.4">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x14ac:dyDescent="0.4">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x14ac:dyDescent="0.4">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x14ac:dyDescent="0.4">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x14ac:dyDescent="0.4">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x14ac:dyDescent="0.4">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x14ac:dyDescent="0.4">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x14ac:dyDescent="0.4">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x14ac:dyDescent="0.4">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x14ac:dyDescent="0.4">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x14ac:dyDescent="0.4">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x14ac:dyDescent="0.4">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x14ac:dyDescent="0.4">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x14ac:dyDescent="0.4">
      <c r="A107" s="30" t="str">
        <f t="shared" si="1"/>
        <v>PROPERTYCGARANT_BEM</v>
      </c>
      <c r="B107" s="142" t="s">
        <v>26</v>
      </c>
      <c r="C107" s="138" t="s">
        <v>54</v>
      </c>
      <c r="D107" s="134" t="s">
        <v>40</v>
      </c>
      <c r="E107" s="135" t="s">
        <v>94</v>
      </c>
      <c r="F107" s="134" t="s">
        <v>1947</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x14ac:dyDescent="0.4">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x14ac:dyDescent="0.4">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x14ac:dyDescent="0.4">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x14ac:dyDescent="0.4">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x14ac:dyDescent="0.4">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x14ac:dyDescent="0.4">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customHeight="1" x14ac:dyDescent="0.4">
      <c r="A114" s="30" t="str">
        <f t="shared" si="1"/>
        <v>PROPERTY_ENERGY_CERTIFICATELAND_REGISTRY_OFFICE_CODE</v>
      </c>
      <c r="B114" s="142" t="s">
        <v>26</v>
      </c>
      <c r="C114" s="138" t="s">
        <v>54</v>
      </c>
      <c r="D114" s="134" t="s">
        <v>40</v>
      </c>
      <c r="E114" s="135" t="s">
        <v>123</v>
      </c>
      <c r="F114" s="134" t="s">
        <v>125</v>
      </c>
      <c r="G114" s="136" t="str">
        <f>VLOOKUP(A114,Plano_V3!$A$26:$G$592,7,0)</f>
        <v>4. Validação EF</v>
      </c>
      <c r="H114" s="136" t="s">
        <v>616</v>
      </c>
      <c r="I114" s="143"/>
      <c r="J114" s="153">
        <f>IF(VLOOKUP(A114,'Aux - pivots1'!$A:$E,3,0)=0, "",VLOOKUP(A114,'Aux - pivots1'!$A:$E,3,0))</f>
        <v>45603</v>
      </c>
      <c r="K114" s="153">
        <f>IF(VLOOKUP(A114,'Aux - pivots1'!$A:$E,4,0)=0, "",VLOOKUP(A114,'Aux - pivots1'!$A:$E,4,0))</f>
        <v>45607</v>
      </c>
      <c r="L114" s="153">
        <f>IF(VLOOKUP(A114,'Aux - pivots1'!$A:$E,5,0)=0, "",VLOOKUP(A114,'Aux - pivots1'!$A:$E,5,0))</f>
        <v>45600</v>
      </c>
      <c r="M114" s="209"/>
      <c r="N114" s="209"/>
    </row>
    <row r="115" spans="1:14" ht="16.2" customHeight="1" x14ac:dyDescent="0.4">
      <c r="A115" s="30" t="str">
        <f t="shared" si="1"/>
        <v>PROPERTY_ENERGY_CERTIFICATEPROPERTY_IDENTIFICATION_CODE</v>
      </c>
      <c r="B115" s="142" t="s">
        <v>26</v>
      </c>
      <c r="C115" s="138" t="s">
        <v>54</v>
      </c>
      <c r="D115" s="134" t="s">
        <v>40</v>
      </c>
      <c r="E115" s="135" t="s">
        <v>123</v>
      </c>
      <c r="F115" s="134" t="s">
        <v>126</v>
      </c>
      <c r="G115" s="136" t="str">
        <f>VLOOKUP(A115,Plano_V3!$A$26:$G$592,7,0)</f>
        <v>4. Validação EF</v>
      </c>
      <c r="H115" s="136" t="s">
        <v>616</v>
      </c>
      <c r="I115" s="143"/>
      <c r="J115" s="153">
        <f>IF(VLOOKUP(A115,'Aux - pivots1'!$A:$E,3,0)=0, "",VLOOKUP(A115,'Aux - pivots1'!$A:$E,3,0))</f>
        <v>45603</v>
      </c>
      <c r="K115" s="153">
        <f>IF(VLOOKUP(A115,'Aux - pivots1'!$A:$E,4,0)=0, "",VLOOKUP(A115,'Aux - pivots1'!$A:$E,4,0))</f>
        <v>45607</v>
      </c>
      <c r="L115" s="153">
        <f>IF(VLOOKUP(A115,'Aux - pivots1'!$A:$E,5,0)=0, "",VLOOKUP(A115,'Aux - pivots1'!$A:$E,5,0))</f>
        <v>45600</v>
      </c>
      <c r="M115" s="209"/>
      <c r="N115" s="209"/>
    </row>
    <row r="116" spans="1:14" ht="16.2" customHeight="1" x14ac:dyDescent="0.4">
      <c r="A116" s="30" t="str">
        <f t="shared" si="1"/>
        <v>PROPERTY_ENERGY_CERTIFICATEENERGY_CERTIFICATION_SYSTEM_CODE</v>
      </c>
      <c r="B116" s="142" t="s">
        <v>26</v>
      </c>
      <c r="C116" s="138" t="s">
        <v>54</v>
      </c>
      <c r="D116" s="134" t="s">
        <v>40</v>
      </c>
      <c r="E116" s="135" t="s">
        <v>123</v>
      </c>
      <c r="F116" s="134" t="s">
        <v>127</v>
      </c>
      <c r="G116" s="136" t="str">
        <f>VLOOKUP(A116,Plano_V3!$A$26:$G$592,7,0)</f>
        <v>4. Validação EF</v>
      </c>
      <c r="H116" s="136" t="s">
        <v>616</v>
      </c>
      <c r="I116" s="143"/>
      <c r="J116" s="153">
        <f>IF(VLOOKUP(A116,'Aux - pivots1'!$A:$E,3,0)=0, "",VLOOKUP(A116,'Aux - pivots1'!$A:$E,3,0))</f>
        <v>45603</v>
      </c>
      <c r="K116" s="153">
        <f>IF(VLOOKUP(A116,'Aux - pivots1'!$A:$E,4,0)=0, "",VLOOKUP(A116,'Aux - pivots1'!$A:$E,4,0))</f>
        <v>45607</v>
      </c>
      <c r="L116" s="153">
        <f>IF(VLOOKUP(A116,'Aux - pivots1'!$A:$E,5,0)=0, "",VLOOKUP(A116,'Aux - pivots1'!$A:$E,5,0))</f>
        <v>45600</v>
      </c>
      <c r="M116" s="209"/>
      <c r="N116" s="209"/>
    </row>
    <row r="117" spans="1:14" ht="16.2" customHeight="1" x14ac:dyDescent="0.4">
      <c r="A117" s="30" t="str">
        <f t="shared" si="1"/>
        <v>PROPERTY_ENERGY_CERTIFICATEEPC_ISSUING_DATE</v>
      </c>
      <c r="B117" s="142" t="s">
        <v>26</v>
      </c>
      <c r="C117" s="138" t="s">
        <v>54</v>
      </c>
      <c r="D117" s="134" t="s">
        <v>40</v>
      </c>
      <c r="E117" s="135" t="s">
        <v>123</v>
      </c>
      <c r="F117" s="134" t="s">
        <v>128</v>
      </c>
      <c r="G117" s="136" t="str">
        <f>VLOOKUP(A117,Plano_V3!$A$26:$G$592,7,0)</f>
        <v>4. Validação EF</v>
      </c>
      <c r="H117" s="136" t="s">
        <v>616</v>
      </c>
      <c r="I117" s="143"/>
      <c r="J117" s="153">
        <f>IF(VLOOKUP(A117,'Aux - pivots1'!$A:$E,3,0)=0, "",VLOOKUP(A117,'Aux - pivots1'!$A:$E,3,0))</f>
        <v>45603</v>
      </c>
      <c r="K117" s="153">
        <f>IF(VLOOKUP(A117,'Aux - pivots1'!$A:$E,4,0)=0, "",VLOOKUP(A117,'Aux - pivots1'!$A:$E,4,0))</f>
        <v>45607</v>
      </c>
      <c r="L117" s="153">
        <f>IF(VLOOKUP(A117,'Aux - pivots1'!$A:$E,5,0)=0, "",VLOOKUP(A117,'Aux - pivots1'!$A:$E,5,0))</f>
        <v>45600</v>
      </c>
      <c r="M117" s="209"/>
      <c r="N117" s="209"/>
    </row>
    <row r="118" spans="1:14" ht="16.2" customHeight="1" x14ac:dyDescent="0.4">
      <c r="A118" s="30" t="str">
        <f t="shared" si="1"/>
        <v>PROPERTY_ENERGY_CERTIFICATEEPC_EXPIRATION_DATE</v>
      </c>
      <c r="B118" s="142" t="s">
        <v>26</v>
      </c>
      <c r="C118" s="138" t="s">
        <v>54</v>
      </c>
      <c r="D118" s="134" t="s">
        <v>40</v>
      </c>
      <c r="E118" s="135" t="s">
        <v>123</v>
      </c>
      <c r="F118" s="134" t="s">
        <v>129</v>
      </c>
      <c r="G118" s="136" t="str">
        <f>VLOOKUP(A118,Plano_V3!$A$26:$G$592,7,0)</f>
        <v>4. Validação EF</v>
      </c>
      <c r="H118" s="136" t="s">
        <v>616</v>
      </c>
      <c r="I118" s="143"/>
      <c r="J118" s="153">
        <f>IF(VLOOKUP(A118,'Aux - pivots1'!$A:$E,3,0)=0, "",VLOOKUP(A118,'Aux - pivots1'!$A:$E,3,0))</f>
        <v>45603</v>
      </c>
      <c r="K118" s="153">
        <f>IF(VLOOKUP(A118,'Aux - pivots1'!$A:$E,4,0)=0, "",VLOOKUP(A118,'Aux - pivots1'!$A:$E,4,0))</f>
        <v>45607</v>
      </c>
      <c r="L118" s="153">
        <f>IF(VLOOKUP(A118,'Aux - pivots1'!$A:$E,5,0)=0, "",VLOOKUP(A118,'Aux - pivots1'!$A:$E,5,0))</f>
        <v>45600</v>
      </c>
      <c r="M118" s="209"/>
      <c r="N118" s="209"/>
    </row>
    <row r="119" spans="1:14" ht="16.2" customHeight="1" x14ac:dyDescent="0.4">
      <c r="A119" s="30" t="str">
        <f t="shared" si="1"/>
        <v>PROPERTY_ENERGY_CERTIFICATEEPC</v>
      </c>
      <c r="B119" s="142" t="s">
        <v>26</v>
      </c>
      <c r="C119" s="138" t="s">
        <v>54</v>
      </c>
      <c r="D119" s="134" t="s">
        <v>40</v>
      </c>
      <c r="E119" s="135" t="s">
        <v>123</v>
      </c>
      <c r="F119" s="134" t="s">
        <v>47</v>
      </c>
      <c r="G119" s="136" t="str">
        <f>VLOOKUP(A119,Plano_V3!$A$26:$G$592,7,0)</f>
        <v>4. Validação EF</v>
      </c>
      <c r="H119" s="136" t="s">
        <v>616</v>
      </c>
      <c r="I119" s="143"/>
      <c r="J119" s="153">
        <f>IF(VLOOKUP(A119,'Aux - pivots1'!$A:$E,3,0)=0, "",VLOOKUP(A119,'Aux - pivots1'!$A:$E,3,0))</f>
        <v>45603</v>
      </c>
      <c r="K119" s="153">
        <f>IF(VLOOKUP(A119,'Aux - pivots1'!$A:$E,4,0)=0, "",VLOOKUP(A119,'Aux - pivots1'!$A:$E,4,0))</f>
        <v>45607</v>
      </c>
      <c r="L119" s="153">
        <f>IF(VLOOKUP(A119,'Aux - pivots1'!$A:$E,5,0)=0, "",VLOOKUP(A119,'Aux - pivots1'!$A:$E,5,0))</f>
        <v>45600</v>
      </c>
      <c r="M119" s="209"/>
      <c r="N119" s="209"/>
    </row>
    <row r="120" spans="1:14" ht="16.2" customHeight="1" x14ac:dyDescent="0.4">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x14ac:dyDescent="0.4">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customHeight="1" x14ac:dyDescent="0.4">
      <c r="A122" s="30" t="str">
        <f t="shared" si="1"/>
        <v>PROPERTY_ENERGY_CERTIFICATEENERGY_EFFICIENCY_IND</v>
      </c>
      <c r="B122" s="142" t="s">
        <v>26</v>
      </c>
      <c r="C122" s="138" t="s">
        <v>54</v>
      </c>
      <c r="D122" s="134" t="s">
        <v>40</v>
      </c>
      <c r="E122" s="135" t="s">
        <v>123</v>
      </c>
      <c r="F122" s="134" t="s">
        <v>132</v>
      </c>
      <c r="G122" s="136" t="str">
        <f>VLOOKUP(A122,Plano_V3!$A$26:$G$592,7,0)</f>
        <v>4. Validação EF</v>
      </c>
      <c r="H122" s="136" t="s">
        <v>616</v>
      </c>
      <c r="I122" s="143"/>
      <c r="J122" s="153">
        <f>IF(VLOOKUP(A122,'Aux - pivots1'!$A:$E,3,0)=0, "",VLOOKUP(A122,'Aux - pivots1'!$A:$E,3,0))</f>
        <v>45603</v>
      </c>
      <c r="K122" s="153">
        <f>IF(VLOOKUP(A122,'Aux - pivots1'!$A:$E,4,0)=0, "",VLOOKUP(A122,'Aux - pivots1'!$A:$E,4,0))</f>
        <v>45607</v>
      </c>
      <c r="L122" s="153">
        <f>IF(VLOOKUP(A122,'Aux - pivots1'!$A:$E,5,0)=0, "",VLOOKUP(A122,'Aux - pivots1'!$A:$E,5,0))</f>
        <v>45600</v>
      </c>
      <c r="M122" s="209"/>
      <c r="N122" s="209"/>
    </row>
    <row r="123" spans="1:14" ht="16.2" customHeight="1" x14ac:dyDescent="0.4">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customHeight="1" x14ac:dyDescent="0.4">
      <c r="A124" s="30" t="str">
        <f t="shared" si="1"/>
        <v>PROPERTY_ENERGY_CERTIFICATENZEB_IND</v>
      </c>
      <c r="B124" s="142" t="s">
        <v>26</v>
      </c>
      <c r="C124" s="138" t="s">
        <v>54</v>
      </c>
      <c r="D124" s="134" t="s">
        <v>40</v>
      </c>
      <c r="E124" s="135" t="s">
        <v>123</v>
      </c>
      <c r="F124" s="134" t="s">
        <v>134</v>
      </c>
      <c r="G124" s="136" t="str">
        <f>VLOOKUP(A124,Plano_V3!$A$26:$G$592,7,0)</f>
        <v>4. Validação EF</v>
      </c>
      <c r="H124" s="136" t="s">
        <v>616</v>
      </c>
      <c r="I124" s="143"/>
      <c r="J124" s="153">
        <f>IF(VLOOKUP(A124,'Aux - pivots1'!$A:$E,3,0)=0, "",VLOOKUP(A124,'Aux - pivots1'!$A:$E,3,0))</f>
        <v>45603</v>
      </c>
      <c r="K124" s="153">
        <f>IF(VLOOKUP(A124,'Aux - pivots1'!$A:$E,4,0)=0, "",VLOOKUP(A124,'Aux - pivots1'!$A:$E,4,0))</f>
        <v>45607</v>
      </c>
      <c r="L124" s="153">
        <f>IF(VLOOKUP(A124,'Aux - pivots1'!$A:$E,5,0)=0, "",VLOOKUP(A124,'Aux - pivots1'!$A:$E,5,0))</f>
        <v>45600</v>
      </c>
      <c r="M124" s="209"/>
      <c r="N124" s="209"/>
    </row>
    <row r="125" spans="1:14" ht="16.2" customHeight="1" x14ac:dyDescent="0.4">
      <c r="A125" s="30" t="str">
        <f t="shared" si="1"/>
        <v>PROPERTY_ENERGY_CERTIFICATEACTUAL_VALUE_IND</v>
      </c>
      <c r="B125" s="142" t="s">
        <v>26</v>
      </c>
      <c r="C125" s="138" t="s">
        <v>54</v>
      </c>
      <c r="D125" s="134" t="s">
        <v>40</v>
      </c>
      <c r="E125" s="135" t="s">
        <v>123</v>
      </c>
      <c r="F125" s="134" t="s">
        <v>49</v>
      </c>
      <c r="G125" s="136" t="str">
        <f>VLOOKUP(A125,Plano_V3!$A$26:$G$592,7,0)</f>
        <v>4. Validação EF</v>
      </c>
      <c r="H125" s="136" t="s">
        <v>616</v>
      </c>
      <c r="I125" s="143"/>
      <c r="J125" s="153">
        <f>IF(VLOOKUP(A125,'Aux - pivots1'!$A:$E,3,0)=0, "",VLOOKUP(A125,'Aux - pivots1'!$A:$E,3,0))</f>
        <v>45603</v>
      </c>
      <c r="K125" s="153">
        <f>IF(VLOOKUP(A125,'Aux - pivots1'!$A:$E,4,0)=0, "",VLOOKUP(A125,'Aux - pivots1'!$A:$E,4,0))</f>
        <v>45607</v>
      </c>
      <c r="L125" s="153">
        <f>IF(VLOOKUP(A125,'Aux - pivots1'!$A:$E,5,0)=0, "",VLOOKUP(A125,'Aux - pivots1'!$A:$E,5,0))</f>
        <v>45600</v>
      </c>
      <c r="M125" s="209"/>
      <c r="N125" s="209"/>
    </row>
    <row r="126" spans="1:14" ht="16.2" customHeight="1" x14ac:dyDescent="0.4">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customHeight="1" x14ac:dyDescent="0.4">
      <c r="A127" s="30" t="str">
        <f t="shared" si="1"/>
        <v>PROPERTY_ENERGY_CERTIFICATESOURCE_CODE</v>
      </c>
      <c r="B127" s="142" t="s">
        <v>26</v>
      </c>
      <c r="C127" s="138" t="s">
        <v>54</v>
      </c>
      <c r="D127" s="134" t="s">
        <v>40</v>
      </c>
      <c r="E127" s="135" t="s">
        <v>123</v>
      </c>
      <c r="F127" s="134" t="s">
        <v>87</v>
      </c>
      <c r="G127" s="136" t="str">
        <f>VLOOKUP(A127,Plano_V3!$A$26:$G$592,7,0)</f>
        <v>4. Validação EF</v>
      </c>
      <c r="H127" s="136" t="s">
        <v>616</v>
      </c>
      <c r="I127" s="143"/>
      <c r="J127" s="153">
        <f>IF(VLOOKUP(A127,'Aux - pivots1'!$A:$E,3,0)=0, "",VLOOKUP(A127,'Aux - pivots1'!$A:$E,3,0))</f>
        <v>45603</v>
      </c>
      <c r="K127" s="153">
        <f>IF(VLOOKUP(A127,'Aux - pivots1'!$A:$E,4,0)=0, "",VLOOKUP(A127,'Aux - pivots1'!$A:$E,4,0))</f>
        <v>45607</v>
      </c>
      <c r="L127" s="153">
        <f>IF(VLOOKUP(A127,'Aux - pivots1'!$A:$E,5,0)=0, "",VLOOKUP(A127,'Aux - pivots1'!$A:$E,5,0))</f>
        <v>45600</v>
      </c>
      <c r="M127" s="209"/>
      <c r="N127" s="209"/>
    </row>
    <row r="128" spans="1:14" ht="16.2" customHeight="1" x14ac:dyDescent="0.4">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customHeight="1" x14ac:dyDescent="0.4">
      <c r="A129" s="30" t="str">
        <f t="shared" si="1"/>
        <v>PROPERTY_ENERGY_CERTIFICATECERTIFICATE_TYPE</v>
      </c>
      <c r="B129" s="142" t="s">
        <v>26</v>
      </c>
      <c r="C129" s="138" t="s">
        <v>54</v>
      </c>
      <c r="D129" s="134" t="s">
        <v>40</v>
      </c>
      <c r="E129" s="135" t="s">
        <v>123</v>
      </c>
      <c r="F129" s="134" t="s">
        <v>136</v>
      </c>
      <c r="G129" s="136" t="str">
        <f>VLOOKUP(A129,Plano_V3!$A$26:$G$592,7,0)</f>
        <v>4. Validação EF</v>
      </c>
      <c r="H129" s="136" t="s">
        <v>616</v>
      </c>
      <c r="I129" s="143"/>
      <c r="J129" s="153">
        <f>IF(VLOOKUP(A129,'Aux - pivots1'!$A:$E,3,0)=0, "",VLOOKUP(A129,'Aux - pivots1'!$A:$E,3,0))</f>
        <v>45603</v>
      </c>
      <c r="K129" s="153">
        <f>IF(VLOOKUP(A129,'Aux - pivots1'!$A:$E,4,0)=0, "",VLOOKUP(A129,'Aux - pivots1'!$A:$E,4,0))</f>
        <v>45607</v>
      </c>
      <c r="L129" s="153">
        <f>IF(VLOOKUP(A129,'Aux - pivots1'!$A:$E,5,0)=0, "",VLOOKUP(A129,'Aux - pivots1'!$A:$E,5,0))</f>
        <v>45600</v>
      </c>
      <c r="M129" s="209"/>
      <c r="N129" s="209"/>
    </row>
    <row r="130" spans="1:14" ht="16.2" customHeight="1" x14ac:dyDescent="0.4">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x14ac:dyDescent="0.4">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x14ac:dyDescent="0.4">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x14ac:dyDescent="0.4">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x14ac:dyDescent="0.4">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x14ac:dyDescent="0.4">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x14ac:dyDescent="0.4">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x14ac:dyDescent="0.4">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x14ac:dyDescent="0.4">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x14ac:dyDescent="0.4">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x14ac:dyDescent="0.4">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customHeight="1" x14ac:dyDescent="0.4">
      <c r="A141" s="30" t="str">
        <f t="shared" si="2"/>
        <v>PROPERTY_ENERGY_CERTIFICATEENERGY_CONSUMPTION_VALUE_YEAR</v>
      </c>
      <c r="B141" s="142" t="s">
        <v>26</v>
      </c>
      <c r="C141" s="138" t="s">
        <v>54</v>
      </c>
      <c r="D141" s="134" t="s">
        <v>40</v>
      </c>
      <c r="E141" s="135" t="s">
        <v>123</v>
      </c>
      <c r="F141" s="134" t="s">
        <v>51</v>
      </c>
      <c r="G141" s="136" t="str">
        <f>VLOOKUP(A141,Plano_V3!$A$26:$G$592,7,0)</f>
        <v>4. Validação EF</v>
      </c>
      <c r="H141" s="136" t="s">
        <v>616</v>
      </c>
      <c r="I141" s="143"/>
      <c r="J141" s="153">
        <f>IF(VLOOKUP(A141,'Aux - pivots1'!$A:$E,3,0)=0, "",VLOOKUP(A141,'Aux - pivots1'!$A:$E,3,0))</f>
        <v>45603</v>
      </c>
      <c r="K141" s="153">
        <f>IF(VLOOKUP(A141,'Aux - pivots1'!$A:$E,4,0)=0, "",VLOOKUP(A141,'Aux - pivots1'!$A:$E,4,0))</f>
        <v>45607</v>
      </c>
      <c r="L141" s="153">
        <f>IF(VLOOKUP(A141,'Aux - pivots1'!$A:$E,5,0)=0, "",VLOOKUP(A141,'Aux - pivots1'!$A:$E,5,0))</f>
        <v>45600</v>
      </c>
      <c r="M141" s="209"/>
      <c r="N141" s="209"/>
    </row>
    <row r="142" spans="1:14" ht="16.2" customHeight="1" x14ac:dyDescent="0.4">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x14ac:dyDescent="0.4">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x14ac:dyDescent="0.4">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x14ac:dyDescent="0.4">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x14ac:dyDescent="0.4">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x14ac:dyDescent="0.4">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x14ac:dyDescent="0.4">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x14ac:dyDescent="0.4">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customHeight="1" x14ac:dyDescent="0.4">
      <c r="A150" s="30" t="str">
        <f t="shared" si="2"/>
        <v>PROPERTY_ENERGY_CERTIFICATECARBON_EMISSION_VALUE_YEAR</v>
      </c>
      <c r="B150" s="142" t="s">
        <v>26</v>
      </c>
      <c r="C150" s="138" t="s">
        <v>54</v>
      </c>
      <c r="D150" s="134" t="s">
        <v>40</v>
      </c>
      <c r="E150" s="135" t="s">
        <v>123</v>
      </c>
      <c r="F150" s="134" t="s">
        <v>52</v>
      </c>
      <c r="G150" s="136" t="str">
        <f>VLOOKUP(A150,Plano_V3!$A$26:$G$592,7,0)</f>
        <v>4. Validação EF</v>
      </c>
      <c r="H150" s="136" t="s">
        <v>616</v>
      </c>
      <c r="I150" s="143"/>
      <c r="J150" s="153">
        <f>IF(VLOOKUP(A150,'Aux - pivots1'!$A:$E,3,0)=0, "",VLOOKUP(A150,'Aux - pivots1'!$A:$E,3,0))</f>
        <v>45603</v>
      </c>
      <c r="K150" s="153">
        <f>IF(VLOOKUP(A150,'Aux - pivots1'!$A:$E,4,0)=0, "",VLOOKUP(A150,'Aux - pivots1'!$A:$E,4,0))</f>
        <v>45607</v>
      </c>
      <c r="L150" s="153">
        <f>IF(VLOOKUP(A150,'Aux - pivots1'!$A:$E,5,0)=0, "",VLOOKUP(A150,'Aux - pivots1'!$A:$E,5,0))</f>
        <v>45600</v>
      </c>
      <c r="M150" s="209"/>
      <c r="N150" s="209"/>
    </row>
    <row r="151" spans="1:14" ht="16.2" customHeight="1" x14ac:dyDescent="0.4">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x14ac:dyDescent="0.4">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x14ac:dyDescent="0.4">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x14ac:dyDescent="0.4">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customHeight="1" x14ac:dyDescent="0.4">
      <c r="A155" s="30" t="str">
        <f t="shared" si="2"/>
        <v>PROPERTY_ENERGY_CERTIFICATEREN_ENERGY_PRODUCED_VALUE</v>
      </c>
      <c r="B155" s="142" t="s">
        <v>26</v>
      </c>
      <c r="C155" s="138" t="s">
        <v>54</v>
      </c>
      <c r="D155" s="134" t="s">
        <v>40</v>
      </c>
      <c r="E155" s="135" t="s">
        <v>123</v>
      </c>
      <c r="F155" s="134" t="s">
        <v>160</v>
      </c>
      <c r="G155" s="136" t="str">
        <f>VLOOKUP(A155,Plano_V3!$A$26:$G$592,7,0)</f>
        <v>4. Validação EF</v>
      </c>
      <c r="H155" s="136" t="s">
        <v>616</v>
      </c>
      <c r="I155" s="143"/>
      <c r="J155" s="153">
        <f>IF(VLOOKUP(A155,'Aux - pivots1'!$A:$E,3,0)=0, "",VLOOKUP(A155,'Aux - pivots1'!$A:$E,3,0))</f>
        <v>45603</v>
      </c>
      <c r="K155" s="153">
        <f>IF(VLOOKUP(A155,'Aux - pivots1'!$A:$E,4,0)=0, "",VLOOKUP(A155,'Aux - pivots1'!$A:$E,4,0))</f>
        <v>45607</v>
      </c>
      <c r="L155" s="153">
        <f>IF(VLOOKUP(A155,'Aux - pivots1'!$A:$E,5,0)=0, "",VLOOKUP(A155,'Aux - pivots1'!$A:$E,5,0))</f>
        <v>45600</v>
      </c>
      <c r="M155" s="209"/>
      <c r="N155" s="209"/>
    </row>
    <row r="156" spans="1:14" ht="16.2" customHeight="1" x14ac:dyDescent="0.4">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x14ac:dyDescent="0.4">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x14ac:dyDescent="0.4">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customHeight="1" x14ac:dyDescent="0.4">
      <c r="A159" s="30" t="str">
        <f t="shared" si="2"/>
        <v>PROPERTY_ENERGY_CERTIFICATEPRIMARY_ENERGY_REQ_VALUE</v>
      </c>
      <c r="B159" s="142" t="s">
        <v>26</v>
      </c>
      <c r="C159" s="138" t="s">
        <v>54</v>
      </c>
      <c r="D159" s="134" t="s">
        <v>40</v>
      </c>
      <c r="E159" s="135" t="s">
        <v>123</v>
      </c>
      <c r="F159" s="134" t="s">
        <v>164</v>
      </c>
      <c r="G159" s="136" t="str">
        <f>VLOOKUP(A159,Plano_V3!$A$26:$G$592,7,0)</f>
        <v>4. Validação EF</v>
      </c>
      <c r="H159" s="136" t="s">
        <v>616</v>
      </c>
      <c r="I159" s="143"/>
      <c r="J159" s="153">
        <f>IF(VLOOKUP(A159,'Aux - pivots1'!$A:$E,3,0)=0, "",VLOOKUP(A159,'Aux - pivots1'!$A:$E,3,0))</f>
        <v>45603</v>
      </c>
      <c r="K159" s="153">
        <f>IF(VLOOKUP(A159,'Aux - pivots1'!$A:$E,4,0)=0, "",VLOOKUP(A159,'Aux - pivots1'!$A:$E,4,0))</f>
        <v>45607</v>
      </c>
      <c r="L159" s="153">
        <f>IF(VLOOKUP(A159,'Aux - pivots1'!$A:$E,5,0)=0, "",VLOOKUP(A159,'Aux - pivots1'!$A:$E,5,0))</f>
        <v>45600</v>
      </c>
      <c r="M159" s="209"/>
      <c r="N159" s="209"/>
    </row>
    <row r="160" spans="1:14" ht="16.2" customHeight="1" x14ac:dyDescent="0.4">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x14ac:dyDescent="0.4">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x14ac:dyDescent="0.4">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x14ac:dyDescent="0.4">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x14ac:dyDescent="0.4">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x14ac:dyDescent="0.4">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x14ac:dyDescent="0.4">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x14ac:dyDescent="0.4">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x14ac:dyDescent="0.4">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x14ac:dyDescent="0.4">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x14ac:dyDescent="0.4">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x14ac:dyDescent="0.4">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x14ac:dyDescent="0.4">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x14ac:dyDescent="0.4">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customHeight="1" x14ac:dyDescent="0.4">
      <c r="A174" s="30" t="str">
        <f t="shared" si="2"/>
        <v>PROPERTY_ENERGY_CERTIFICATENET_FLOOR_AREA</v>
      </c>
      <c r="B174" s="142" t="s">
        <v>26</v>
      </c>
      <c r="C174" s="138" t="s">
        <v>54</v>
      </c>
      <c r="D174" s="134" t="s">
        <v>40</v>
      </c>
      <c r="E174" s="135" t="s">
        <v>123</v>
      </c>
      <c r="F174" s="134" t="s">
        <v>97</v>
      </c>
      <c r="G174" s="136" t="str">
        <f>VLOOKUP(A174,Plano_V3!$A$26:$G$592,7,0)</f>
        <v>4. Validação EF</v>
      </c>
      <c r="H174" s="136" t="s">
        <v>616</v>
      </c>
      <c r="I174" s="143"/>
      <c r="J174" s="153">
        <f>IF(VLOOKUP(A174,'Aux - pivots1'!$A:$E,3,0)=0, "",VLOOKUP(A174,'Aux - pivots1'!$A:$E,3,0))</f>
        <v>45603</v>
      </c>
      <c r="K174" s="153">
        <f>IF(VLOOKUP(A174,'Aux - pivots1'!$A:$E,4,0)=0, "",VLOOKUP(A174,'Aux - pivots1'!$A:$E,4,0))</f>
        <v>45607</v>
      </c>
      <c r="L174" s="153">
        <f>IF(VLOOKUP(A174,'Aux - pivots1'!$A:$E,5,0)=0, "",VLOOKUP(A174,'Aux - pivots1'!$A:$E,5,0))</f>
        <v>45600</v>
      </c>
      <c r="M174" s="209"/>
      <c r="N174" s="209"/>
    </row>
    <row r="175" spans="1:14" ht="16.2" customHeight="1" x14ac:dyDescent="0.4">
      <c r="A175" s="30" t="str">
        <f t="shared" si="2"/>
        <v>PROPERTY_ENERGY_CERTIFICATECADASTRAL_REGISTER_CODE</v>
      </c>
      <c r="B175" s="142" t="s">
        <v>26</v>
      </c>
      <c r="C175" s="138" t="s">
        <v>54</v>
      </c>
      <c r="D175" s="134" t="s">
        <v>40</v>
      </c>
      <c r="E175" s="135" t="s">
        <v>123</v>
      </c>
      <c r="F175" s="134" t="s">
        <v>98</v>
      </c>
      <c r="G175" s="136" t="str">
        <f>VLOOKUP(A175,Plano_V3!$A$26:$G$592,7,0)</f>
        <v>4. Validação EF</v>
      </c>
      <c r="H175" s="136" t="s">
        <v>616</v>
      </c>
      <c r="I175" s="143"/>
      <c r="J175" s="153">
        <f>IF(VLOOKUP(A175,'Aux - pivots1'!$A:$E,3,0)=0, "",VLOOKUP(A175,'Aux - pivots1'!$A:$E,3,0))</f>
        <v>45603</v>
      </c>
      <c r="K175" s="153">
        <f>IF(VLOOKUP(A175,'Aux - pivots1'!$A:$E,4,0)=0, "",VLOOKUP(A175,'Aux - pivots1'!$A:$E,4,0))</f>
        <v>45607</v>
      </c>
      <c r="L175" s="153">
        <f>IF(VLOOKUP(A175,'Aux - pivots1'!$A:$E,5,0)=0, "",VLOOKUP(A175,'Aux - pivots1'!$A:$E,5,0))</f>
        <v>45600</v>
      </c>
      <c r="M175" s="209"/>
      <c r="N175" s="209"/>
    </row>
    <row r="176" spans="1:14" ht="16.2" customHeight="1" x14ac:dyDescent="0.4">
      <c r="A176" s="30" t="str">
        <f t="shared" si="2"/>
        <v>PROPERTY_ENERGY_CERTIFICATEDISTRICT_MUNICIP_PARISH_CODE</v>
      </c>
      <c r="B176" s="142" t="s">
        <v>26</v>
      </c>
      <c r="C176" s="138" t="s">
        <v>54</v>
      </c>
      <c r="D176" s="134" t="s">
        <v>40</v>
      </c>
      <c r="E176" s="135" t="s">
        <v>123</v>
      </c>
      <c r="F176" s="134" t="s">
        <v>101</v>
      </c>
      <c r="G176" s="136" t="str">
        <f>VLOOKUP(A176,Plano_V3!$A$26:$G$592,7,0)</f>
        <v>4. Validação EF</v>
      </c>
      <c r="H176" s="136" t="s">
        <v>616</v>
      </c>
      <c r="I176" s="143"/>
      <c r="J176" s="153">
        <f>IF(VLOOKUP(A176,'Aux - pivots1'!$A:$E,3,0)=0, "",VLOOKUP(A176,'Aux - pivots1'!$A:$E,3,0))</f>
        <v>45603</v>
      </c>
      <c r="K176" s="153">
        <f>IF(VLOOKUP(A176,'Aux - pivots1'!$A:$E,4,0)=0, "",VLOOKUP(A176,'Aux - pivots1'!$A:$E,4,0))</f>
        <v>45607</v>
      </c>
      <c r="L176" s="153">
        <f>IF(VLOOKUP(A176,'Aux - pivots1'!$A:$E,5,0)=0, "",VLOOKUP(A176,'Aux - pivots1'!$A:$E,5,0))</f>
        <v>45600</v>
      </c>
      <c r="M176" s="209"/>
      <c r="N176" s="209"/>
    </row>
    <row r="177" spans="1:14" ht="16.2" customHeight="1" x14ac:dyDescent="0.4">
      <c r="A177" s="30" t="str">
        <f t="shared" si="2"/>
        <v>PROPERTY_ENERGY_CERTIFICATEPROPERTY_PURPOSE_CODE</v>
      </c>
      <c r="B177" s="142" t="s">
        <v>26</v>
      </c>
      <c r="C177" s="138" t="s">
        <v>54</v>
      </c>
      <c r="D177" s="134" t="s">
        <v>40</v>
      </c>
      <c r="E177" s="135" t="s">
        <v>123</v>
      </c>
      <c r="F177" s="134" t="s">
        <v>102</v>
      </c>
      <c r="G177" s="136" t="str">
        <f>VLOOKUP(A177,Plano_V3!$A$26:$G$592,7,0)</f>
        <v>4. Validação EF</v>
      </c>
      <c r="H177" s="136" t="s">
        <v>616</v>
      </c>
      <c r="I177" s="143"/>
      <c r="J177" s="153">
        <f>IF(VLOOKUP(A177,'Aux - pivots1'!$A:$E,3,0)=0, "",VLOOKUP(A177,'Aux - pivots1'!$A:$E,3,0))</f>
        <v>45603</v>
      </c>
      <c r="K177" s="153">
        <f>IF(VLOOKUP(A177,'Aux - pivots1'!$A:$E,4,0)=0, "",VLOOKUP(A177,'Aux - pivots1'!$A:$E,4,0))</f>
        <v>45607</v>
      </c>
      <c r="L177" s="153">
        <f>IF(VLOOKUP(A177,'Aux - pivots1'!$A:$E,5,0)=0, "",VLOOKUP(A177,'Aux - pivots1'!$A:$E,5,0))</f>
        <v>45600</v>
      </c>
      <c r="M177" s="209"/>
      <c r="N177" s="209"/>
    </row>
    <row r="178" spans="1:14" ht="16.2" customHeight="1" x14ac:dyDescent="0.4">
      <c r="A178" s="30" t="str">
        <f t="shared" si="2"/>
        <v>PROPERTY_ENERGY_CERTIFICATEADDRESS_CODE</v>
      </c>
      <c r="B178" s="142" t="s">
        <v>26</v>
      </c>
      <c r="C178" s="138" t="s">
        <v>54</v>
      </c>
      <c r="D178" s="134" t="s">
        <v>40</v>
      </c>
      <c r="E178" s="135" t="s">
        <v>123</v>
      </c>
      <c r="F178" s="134" t="s">
        <v>104</v>
      </c>
      <c r="G178" s="136" t="str">
        <f>VLOOKUP(A178,Plano_V3!$A$26:$G$592,7,0)</f>
        <v>4. Validação EF</v>
      </c>
      <c r="H178" s="136" t="s">
        <v>616</v>
      </c>
      <c r="I178" s="143"/>
      <c r="J178" s="153">
        <f>IF(VLOOKUP(A178,'Aux - pivots1'!$A:$E,3,0)=0, "",VLOOKUP(A178,'Aux - pivots1'!$A:$E,3,0))</f>
        <v>45603</v>
      </c>
      <c r="K178" s="153">
        <f>IF(VLOOKUP(A178,'Aux - pivots1'!$A:$E,4,0)=0, "",VLOOKUP(A178,'Aux - pivots1'!$A:$E,4,0))</f>
        <v>45607</v>
      </c>
      <c r="L178" s="153">
        <f>IF(VLOOKUP(A178,'Aux - pivots1'!$A:$E,5,0)=0, "",VLOOKUP(A178,'Aux - pivots1'!$A:$E,5,0))</f>
        <v>45600</v>
      </c>
      <c r="M178" s="209"/>
      <c r="N178" s="209"/>
    </row>
    <row r="179" spans="1:14" ht="16.2" customHeight="1" x14ac:dyDescent="0.4">
      <c r="A179" s="30" t="str">
        <f t="shared" si="2"/>
        <v>PROPERTY_ENERGY_CERTIFICATEFLOOR_NUMBER</v>
      </c>
      <c r="B179" s="142" t="s">
        <v>26</v>
      </c>
      <c r="C179" s="138" t="s">
        <v>54</v>
      </c>
      <c r="D179" s="134" t="s">
        <v>40</v>
      </c>
      <c r="E179" s="135" t="s">
        <v>123</v>
      </c>
      <c r="F179" s="134" t="s">
        <v>111</v>
      </c>
      <c r="G179" s="136" t="str">
        <f>VLOOKUP(A179,Plano_V3!$A$26:$G$592,7,0)</f>
        <v>4. Validação EF</v>
      </c>
      <c r="H179" s="136" t="s">
        <v>616</v>
      </c>
      <c r="I179" s="143"/>
      <c r="J179" s="153">
        <f>IF(VLOOKUP(A179,'Aux - pivots1'!$A:$E,3,0)=0, "",VLOOKUP(A179,'Aux - pivots1'!$A:$E,3,0))</f>
        <v>45603</v>
      </c>
      <c r="K179" s="153">
        <f>IF(VLOOKUP(A179,'Aux - pivots1'!$A:$E,4,0)=0, "",VLOOKUP(A179,'Aux - pivots1'!$A:$E,4,0))</f>
        <v>45607</v>
      </c>
      <c r="L179" s="153">
        <f>IF(VLOOKUP(A179,'Aux - pivots1'!$A:$E,5,0)=0, "",VLOOKUP(A179,'Aux - pivots1'!$A:$E,5,0))</f>
        <v>45600</v>
      </c>
      <c r="M179" s="209"/>
      <c r="N179" s="209"/>
    </row>
    <row r="180" spans="1:14" ht="16.2" customHeight="1" x14ac:dyDescent="0.4">
      <c r="A180" s="30" t="str">
        <f t="shared" si="2"/>
        <v>PROPERTY_ENERGY_CERTIFICATELOCALITY</v>
      </c>
      <c r="B180" s="142" t="s">
        <v>26</v>
      </c>
      <c r="C180" s="138" t="s">
        <v>54</v>
      </c>
      <c r="D180" s="134" t="s">
        <v>40</v>
      </c>
      <c r="E180" s="135" t="s">
        <v>123</v>
      </c>
      <c r="F180" s="134" t="s">
        <v>112</v>
      </c>
      <c r="G180" s="136" t="str">
        <f>VLOOKUP(A180,Plano_V3!$A$26:$G$592,7,0)</f>
        <v>4. Validação EF</v>
      </c>
      <c r="H180" s="136" t="s">
        <v>616</v>
      </c>
      <c r="I180" s="143"/>
      <c r="J180" s="153">
        <f>IF(VLOOKUP(A180,'Aux - pivots1'!$A:$E,3,0)=0, "",VLOOKUP(A180,'Aux - pivots1'!$A:$E,3,0))</f>
        <v>45603</v>
      </c>
      <c r="K180" s="153">
        <f>IF(VLOOKUP(A180,'Aux - pivots1'!$A:$E,4,0)=0, "",VLOOKUP(A180,'Aux - pivots1'!$A:$E,4,0))</f>
        <v>45607</v>
      </c>
      <c r="L180" s="153">
        <f>IF(VLOOKUP(A180,'Aux - pivots1'!$A:$E,5,0)=0, "",VLOOKUP(A180,'Aux - pivots1'!$A:$E,5,0))</f>
        <v>45600</v>
      </c>
      <c r="M180" s="209"/>
      <c r="N180" s="209"/>
    </row>
    <row r="181" spans="1:14" ht="16.2" customHeight="1" x14ac:dyDescent="0.4">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customHeight="1" x14ac:dyDescent="0.4">
      <c r="A182" s="30" t="str">
        <f t="shared" si="2"/>
        <v>modesg_param_sfcs_taxon_europeian.a.</v>
      </c>
      <c r="B182" s="142" t="s">
        <v>26</v>
      </c>
      <c r="C182" s="138" t="s">
        <v>181</v>
      </c>
      <c r="D182" s="134" t="s">
        <v>36</v>
      </c>
      <c r="E182" s="135" t="s">
        <v>182</v>
      </c>
      <c r="F182" s="134" t="s">
        <v>38</v>
      </c>
      <c r="G182" s="136" t="str">
        <f>VLOOKUP(A182,Plano_V3!$A$26:$G$592,7,0)</f>
        <v>2.1 Em Teste</v>
      </c>
      <c r="H182" s="136" t="s">
        <v>1931</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customHeight="1" x14ac:dyDescent="0.4">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x14ac:dyDescent="0.4">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x14ac:dyDescent="0.4">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x14ac:dyDescent="0.4">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x14ac:dyDescent="0.4">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x14ac:dyDescent="0.4">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x14ac:dyDescent="0.4">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x14ac:dyDescent="0.4">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customHeight="1" x14ac:dyDescent="0.4">
      <c r="A191" s="30" t="str">
        <f t="shared" si="2"/>
        <v>modesg_param_sfcs_taxon_europeiacod_regra</v>
      </c>
      <c r="B191" s="142" t="s">
        <v>26</v>
      </c>
      <c r="C191" s="138" t="s">
        <v>181</v>
      </c>
      <c r="D191" s="134" t="s">
        <v>40</v>
      </c>
      <c r="E191" s="135" t="s">
        <v>182</v>
      </c>
      <c r="F191" s="134" t="s">
        <v>191</v>
      </c>
      <c r="G191" s="136" t="str">
        <f>VLOOKUP(A191,Plano_V3!$A$26:$G$592,7,0)</f>
        <v>2.1 Em Teste</v>
      </c>
      <c r="H191" s="136" t="s">
        <v>1931</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customHeight="1" x14ac:dyDescent="0.4">
      <c r="A192" s="30" t="str">
        <f t="shared" si="2"/>
        <v>modesg_param_sfcs_taxon_europeiacomite</v>
      </c>
      <c r="B192" s="142" t="s">
        <v>26</v>
      </c>
      <c r="C192" s="138" t="s">
        <v>181</v>
      </c>
      <c r="D192" s="134" t="s">
        <v>40</v>
      </c>
      <c r="E192" s="135" t="s">
        <v>182</v>
      </c>
      <c r="F192" s="134" t="s">
        <v>192</v>
      </c>
      <c r="G192" s="136" t="str">
        <f>VLOOKUP(A192,Plano_V3!$A$26:$G$592,7,0)</f>
        <v>2.1 Em Teste</v>
      </c>
      <c r="H192" s="136" t="s">
        <v>1931</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customHeight="1" x14ac:dyDescent="0.4">
      <c r="A193" s="30" t="str">
        <f t="shared" si="2"/>
        <v>modesg_param_sfcs_taxon_europeiadata_aprvc</v>
      </c>
      <c r="B193" s="142" t="s">
        <v>26</v>
      </c>
      <c r="C193" s="138" t="s">
        <v>181</v>
      </c>
      <c r="D193" s="134" t="s">
        <v>40</v>
      </c>
      <c r="E193" s="135" t="s">
        <v>182</v>
      </c>
      <c r="F193" s="134" t="s">
        <v>193</v>
      </c>
      <c r="G193" s="136" t="str">
        <f>VLOOKUP(A193,Plano_V3!$A$26:$G$592,7,0)</f>
        <v>2.1 Em Teste</v>
      </c>
      <c r="H193" s="136" t="s">
        <v>1931</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customHeight="1" x14ac:dyDescent="0.4">
      <c r="A194" s="30" t="str">
        <f t="shared" si="2"/>
        <v>modesg_param_sfcs_taxon_europeiadata_final</v>
      </c>
      <c r="B194" s="142" t="s">
        <v>26</v>
      </c>
      <c r="C194" s="138" t="s">
        <v>181</v>
      </c>
      <c r="D194" s="134" t="s">
        <v>40</v>
      </c>
      <c r="E194" s="135" t="s">
        <v>182</v>
      </c>
      <c r="F194" s="134" t="s">
        <v>194</v>
      </c>
      <c r="G194" s="136" t="str">
        <f>VLOOKUP(A194,Plano_V3!$A$26:$G$592,7,0)</f>
        <v>2.1 Em Teste</v>
      </c>
      <c r="H194" s="136" t="s">
        <v>1931</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customHeight="1" x14ac:dyDescent="0.4">
      <c r="A195" s="30" t="str">
        <f t="shared" si="2"/>
        <v>modesg_param_sfcs_taxon_europeiadata_inicial</v>
      </c>
      <c r="B195" s="142" t="s">
        <v>26</v>
      </c>
      <c r="C195" s="138" t="s">
        <v>181</v>
      </c>
      <c r="D195" s="134" t="s">
        <v>40</v>
      </c>
      <c r="E195" s="135" t="s">
        <v>182</v>
      </c>
      <c r="F195" s="134" t="s">
        <v>195</v>
      </c>
      <c r="G195" s="136" t="str">
        <f>VLOOKUP(A195,Plano_V3!$A$26:$G$592,7,0)</f>
        <v>2.1 Em Teste</v>
      </c>
      <c r="H195" s="136" t="s">
        <v>1931</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customHeight="1" x14ac:dyDescent="0.4">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x14ac:dyDescent="0.4">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x14ac:dyDescent="0.4">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customHeight="1" x14ac:dyDescent="0.4">
      <c r="A199" s="30" t="str">
        <f t="shared" si="2"/>
        <v>modesg_param_sfcs_taxon_europeiaflag_project_finance</v>
      </c>
      <c r="B199" s="142" t="s">
        <v>26</v>
      </c>
      <c r="C199" s="138" t="s">
        <v>181</v>
      </c>
      <c r="D199" s="134" t="s">
        <v>40</v>
      </c>
      <c r="E199" s="135" t="s">
        <v>182</v>
      </c>
      <c r="F199" s="134" t="s">
        <v>199</v>
      </c>
      <c r="G199" s="136" t="str">
        <f>VLOOKUP(A199,Plano_V3!$A$26:$G$592,7,0)</f>
        <v>2.1 Em Teste</v>
      </c>
      <c r="H199" s="136" t="s">
        <v>1931</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customHeight="1" x14ac:dyDescent="0.4">
      <c r="A200" s="30" t="str">
        <f t="shared" si="2"/>
        <v>modesg_param_sfcs_taxon_europeiacfinalidad</v>
      </c>
      <c r="B200" s="142" t="s">
        <v>26</v>
      </c>
      <c r="C200" s="138" t="s">
        <v>181</v>
      </c>
      <c r="D200" s="134" t="s">
        <v>40</v>
      </c>
      <c r="E200" s="135" t="s">
        <v>182</v>
      </c>
      <c r="F200" s="134" t="s">
        <v>200</v>
      </c>
      <c r="G200" s="136" t="str">
        <f>VLOOKUP(A200,Plano_V3!$A$26:$G$592,7,0)</f>
        <v>2.1 Em Teste</v>
      </c>
      <c r="H200" s="136" t="s">
        <v>1931</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customHeight="1" x14ac:dyDescent="0.4">
      <c r="A201" s="30" t="str">
        <f t="shared" si="2"/>
        <v>modesg_param_sfcs_taxon_europeiatipo_combust</v>
      </c>
      <c r="B201" s="142" t="s">
        <v>26</v>
      </c>
      <c r="C201" s="138" t="s">
        <v>181</v>
      </c>
      <c r="D201" s="134" t="s">
        <v>40</v>
      </c>
      <c r="E201" s="135" t="s">
        <v>182</v>
      </c>
      <c r="F201" s="134" t="s">
        <v>201</v>
      </c>
      <c r="G201" s="136" t="str">
        <f>VLOOKUP(A201,Plano_V3!$A$26:$G$592,7,0)</f>
        <v>2.1 Em Teste</v>
      </c>
      <c r="H201" s="136" t="s">
        <v>1931</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customHeight="1" x14ac:dyDescent="0.4">
      <c r="A202" s="30" t="str">
        <f t="shared" si="2"/>
        <v>modesg_param_sfcs_taxon_europeiamontante_pndrc</v>
      </c>
      <c r="B202" s="142" t="s">
        <v>26</v>
      </c>
      <c r="C202" s="138" t="s">
        <v>181</v>
      </c>
      <c r="D202" s="134" t="s">
        <v>40</v>
      </c>
      <c r="E202" s="135" t="s">
        <v>182</v>
      </c>
      <c r="F202" s="134" t="s">
        <v>202</v>
      </c>
      <c r="G202" s="136" t="str">
        <f>VLOOKUP(A202,Plano_V3!$A$26:$G$592,7,0)</f>
        <v>2.1 Em Teste</v>
      </c>
      <c r="H202" s="136" t="s">
        <v>1931</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customHeight="1" x14ac:dyDescent="0.4">
      <c r="A203" s="30" t="str">
        <f t="shared" si="2"/>
        <v>modesg_param_sfcs_taxon_europeianome_ctgr_sfcs</v>
      </c>
      <c r="B203" s="142" t="s">
        <v>26</v>
      </c>
      <c r="C203" s="138" t="s">
        <v>181</v>
      </c>
      <c r="D203" s="134" t="s">
        <v>40</v>
      </c>
      <c r="E203" s="135" t="s">
        <v>182</v>
      </c>
      <c r="F203" s="134" t="s">
        <v>203</v>
      </c>
      <c r="G203" s="136" t="str">
        <f>VLOOKUP(A203,Plano_V3!$A$26:$G$592,7,0)</f>
        <v>2.1 Em Teste</v>
      </c>
      <c r="H203" s="136" t="s">
        <v>1931</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customHeight="1" x14ac:dyDescent="0.4">
      <c r="A204" s="30" t="str">
        <f t="shared" si="2"/>
        <v>modesg_param_sfcs_taxon_europeianome_general_specific_purpose</v>
      </c>
      <c r="B204" s="142" t="s">
        <v>26</v>
      </c>
      <c r="C204" s="138" t="s">
        <v>181</v>
      </c>
      <c r="D204" s="134" t="s">
        <v>40</v>
      </c>
      <c r="E204" s="135" t="s">
        <v>182</v>
      </c>
      <c r="F204" s="134" t="s">
        <v>204</v>
      </c>
      <c r="G204" s="136" t="str">
        <f>VLOOKUP(A204,Plano_V3!$A$26:$G$592,7,0)</f>
        <v>2.1 Em Teste</v>
      </c>
      <c r="H204" s="136" t="s">
        <v>1931</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customHeight="1" x14ac:dyDescent="0.4">
      <c r="A205" s="30" t="str">
        <f t="shared" si="2"/>
        <v>modesg_param_sfcs_taxon_europeianome_purpose_esg</v>
      </c>
      <c r="B205" s="142" t="s">
        <v>26</v>
      </c>
      <c r="C205" s="138" t="s">
        <v>181</v>
      </c>
      <c r="D205" s="134" t="s">
        <v>40</v>
      </c>
      <c r="E205" s="135" t="s">
        <v>182</v>
      </c>
      <c r="F205" s="134" t="s">
        <v>205</v>
      </c>
      <c r="G205" s="136" t="str">
        <f>VLOOKUP(A205,Plano_V3!$A$26:$G$592,7,0)</f>
        <v>2.1 Em Teste</v>
      </c>
      <c r="H205" s="136" t="s">
        <v>1931</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customHeight="1" x14ac:dyDescent="0.4">
      <c r="A206" s="30" t="str">
        <f t="shared" si="2"/>
        <v>modesg_param_sfcs_taxon_europeianome_specific_eligible</v>
      </c>
      <c r="B206" s="142" t="s">
        <v>26</v>
      </c>
      <c r="C206" s="138" t="s">
        <v>181</v>
      </c>
      <c r="D206" s="134" t="s">
        <v>40</v>
      </c>
      <c r="E206" s="135" t="s">
        <v>182</v>
      </c>
      <c r="F206" s="134" t="s">
        <v>206</v>
      </c>
      <c r="G206" s="136" t="str">
        <f>VLOOKUP(A206,Plano_V3!$A$26:$G$592,7,0)</f>
        <v>2.1 Em Teste</v>
      </c>
      <c r="H206" s="136" t="s">
        <v>1931</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customHeight="1" x14ac:dyDescent="0.4">
      <c r="A207" s="30" t="str">
        <f t="shared" si="2"/>
        <v>modesg_param_sfcs_taxon_europeianome_specific_sustainable</v>
      </c>
      <c r="B207" s="142" t="s">
        <v>26</v>
      </c>
      <c r="C207" s="138" t="s">
        <v>181</v>
      </c>
      <c r="D207" s="134" t="s">
        <v>40</v>
      </c>
      <c r="E207" s="135" t="s">
        <v>182</v>
      </c>
      <c r="F207" s="134" t="s">
        <v>207</v>
      </c>
      <c r="G207" s="136" t="str">
        <f>VLOOKUP(A207,Plano_V3!$A$26:$G$592,7,0)</f>
        <v>2.1 Em Teste</v>
      </c>
      <c r="H207" s="136" t="s">
        <v>1931</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customHeight="1" x14ac:dyDescent="0.4">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customHeight="1" x14ac:dyDescent="0.4">
      <c r="A209" s="30" t="str">
        <f t="shared" si="3"/>
        <v>modesg_param_sfcs_taxon_europeiazcliente</v>
      </c>
      <c r="B209" s="142" t="s">
        <v>26</v>
      </c>
      <c r="C209" s="138" t="s">
        <v>181</v>
      </c>
      <c r="D209" s="134" t="s">
        <v>40</v>
      </c>
      <c r="E209" s="135" t="s">
        <v>182</v>
      </c>
      <c r="F209" s="134" t="s">
        <v>209</v>
      </c>
      <c r="G209" s="136" t="str">
        <f>VLOOKUP(A209,Plano_V3!$A$26:$G$592,7,0)</f>
        <v>2.1 Em Teste</v>
      </c>
      <c r="H209" s="136" t="s">
        <v>1931</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customHeight="1" x14ac:dyDescent="0.4">
      <c r="A210" s="30" t="str">
        <f t="shared" si="3"/>
        <v>modesg_param_sfcs_taxon_europeiazdeposit</v>
      </c>
      <c r="B210" s="142" t="s">
        <v>26</v>
      </c>
      <c r="C210" s="138" t="s">
        <v>181</v>
      </c>
      <c r="D210" s="134" t="s">
        <v>40</v>
      </c>
      <c r="E210" s="135" t="s">
        <v>182</v>
      </c>
      <c r="F210" s="134" t="s">
        <v>210</v>
      </c>
      <c r="G210" s="136" t="str">
        <f>VLOOKUP(A210,Plano_V3!$A$26:$G$592,7,0)</f>
        <v>2.1 Em Teste</v>
      </c>
      <c r="H210" s="136" t="s">
        <v>1931</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customHeight="1" x14ac:dyDescent="0.4">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x14ac:dyDescent="0.4">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customHeight="1" x14ac:dyDescent="0.4">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customHeight="1" x14ac:dyDescent="0.4">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customHeight="1" x14ac:dyDescent="0.4">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customHeight="1" x14ac:dyDescent="0.4">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customHeight="1" x14ac:dyDescent="0.4">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x14ac:dyDescent="0.4">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x14ac:dyDescent="0.4">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customHeight="1" x14ac:dyDescent="0.4">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x14ac:dyDescent="0.4">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x14ac:dyDescent="0.4">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x14ac:dyDescent="0.4">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x14ac:dyDescent="0.4">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x14ac:dyDescent="0.4">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x14ac:dyDescent="0.4">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x14ac:dyDescent="0.4">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x14ac:dyDescent="0.4">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x14ac:dyDescent="0.4">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x14ac:dyDescent="0.4">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x14ac:dyDescent="0.4">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x14ac:dyDescent="0.4">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x14ac:dyDescent="0.4">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x14ac:dyDescent="0.4">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x14ac:dyDescent="0.4">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x14ac:dyDescent="0.4">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x14ac:dyDescent="0.4">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x14ac:dyDescent="0.4">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x14ac:dyDescent="0.4">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x14ac:dyDescent="0.4">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x14ac:dyDescent="0.4">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x14ac:dyDescent="0.4">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x14ac:dyDescent="0.4">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customHeight="1" x14ac:dyDescent="0.4">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x14ac:dyDescent="0.4">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x14ac:dyDescent="0.4">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x14ac:dyDescent="0.4">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x14ac:dyDescent="0.4">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x14ac:dyDescent="0.4">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x14ac:dyDescent="0.4">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customHeight="1" x14ac:dyDescent="0.4">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x14ac:dyDescent="0.4">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x14ac:dyDescent="0.4">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x14ac:dyDescent="0.4">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x14ac:dyDescent="0.4">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x14ac:dyDescent="0.4">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x14ac:dyDescent="0.4">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x14ac:dyDescent="0.4">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x14ac:dyDescent="0.4">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x14ac:dyDescent="0.4">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x14ac:dyDescent="0.4">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x14ac:dyDescent="0.4">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x14ac:dyDescent="0.4">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x14ac:dyDescent="0.4">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x14ac:dyDescent="0.4">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x14ac:dyDescent="0.4">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x14ac:dyDescent="0.4">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x14ac:dyDescent="0.4">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x14ac:dyDescent="0.4">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x14ac:dyDescent="0.4">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x14ac:dyDescent="0.4">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x14ac:dyDescent="0.4">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x14ac:dyDescent="0.4">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x14ac:dyDescent="0.4">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x14ac:dyDescent="0.4">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x14ac:dyDescent="0.4">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x14ac:dyDescent="0.4">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x14ac:dyDescent="0.4">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x14ac:dyDescent="0.4">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x14ac:dyDescent="0.4">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x14ac:dyDescent="0.4">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x14ac:dyDescent="0.4">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x14ac:dyDescent="0.4">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x14ac:dyDescent="0.4">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x14ac:dyDescent="0.4">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x14ac:dyDescent="0.4">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x14ac:dyDescent="0.4">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x14ac:dyDescent="0.4">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x14ac:dyDescent="0.4">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x14ac:dyDescent="0.4">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x14ac:dyDescent="0.4">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customHeight="1" x14ac:dyDescent="0.4">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x14ac:dyDescent="0.4">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x14ac:dyDescent="0.4">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x14ac:dyDescent="0.4">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x14ac:dyDescent="0.4">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x14ac:dyDescent="0.4">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x14ac:dyDescent="0.4">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x14ac:dyDescent="0.4">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x14ac:dyDescent="0.4">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x14ac:dyDescent="0.4">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x14ac:dyDescent="0.4">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customHeight="1" x14ac:dyDescent="0.4">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x14ac:dyDescent="0.4">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customHeight="1" x14ac:dyDescent="0.4">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x14ac:dyDescent="0.4">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x14ac:dyDescent="0.4">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x14ac:dyDescent="0.4">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x14ac:dyDescent="0.4">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x14ac:dyDescent="0.4">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x14ac:dyDescent="0.4">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x14ac:dyDescent="0.4">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x14ac:dyDescent="0.4">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x14ac:dyDescent="0.4">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x14ac:dyDescent="0.4">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x14ac:dyDescent="0.4">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x14ac:dyDescent="0.4">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x14ac:dyDescent="0.4">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x14ac:dyDescent="0.4">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x14ac:dyDescent="0.4">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x14ac:dyDescent="0.4">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x14ac:dyDescent="0.4">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x14ac:dyDescent="0.4">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x14ac:dyDescent="0.4">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x14ac:dyDescent="0.4">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x14ac:dyDescent="0.4">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x14ac:dyDescent="0.4">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x14ac:dyDescent="0.4">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customHeight="1" x14ac:dyDescent="0.4">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x14ac:dyDescent="0.4">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x14ac:dyDescent="0.4">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x14ac:dyDescent="0.4">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x14ac:dyDescent="0.4">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x14ac:dyDescent="0.4">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x14ac:dyDescent="0.4">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x14ac:dyDescent="0.4">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x14ac:dyDescent="0.4">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customHeight="1" x14ac:dyDescent="0.4">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customHeight="1" x14ac:dyDescent="0.4">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x14ac:dyDescent="0.4">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x14ac:dyDescent="0.4">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x14ac:dyDescent="0.4">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x14ac:dyDescent="0.4">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x14ac:dyDescent="0.4">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x14ac:dyDescent="0.4">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x14ac:dyDescent="0.4">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customHeight="1" x14ac:dyDescent="0.4">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x14ac:dyDescent="0.4">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x14ac:dyDescent="0.4">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x14ac:dyDescent="0.4">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x14ac:dyDescent="0.4">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customHeight="1" x14ac:dyDescent="0.4">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x14ac:dyDescent="0.4">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x14ac:dyDescent="0.4">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x14ac:dyDescent="0.4">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customHeight="1" x14ac:dyDescent="0.4">
      <c r="A356" s="30" t="str">
        <f t="shared" si="8"/>
        <v>modesg_out_bens_imoveisorigem_scp1_emss</v>
      </c>
      <c r="B356" s="142" t="s">
        <v>26</v>
      </c>
      <c r="C356" s="138" t="s">
        <v>311</v>
      </c>
      <c r="D356" s="134" t="s">
        <v>40</v>
      </c>
      <c r="E356" s="135" t="s">
        <v>312</v>
      </c>
      <c r="F356" s="134" t="s">
        <v>320</v>
      </c>
      <c r="G356" s="136" t="str">
        <f>VLOOKUP(A356,Plano_V3!$A$26:$G$592,7,0)</f>
        <v>2.1 Em Teste</v>
      </c>
      <c r="H356" s="136" t="s">
        <v>1931</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customHeight="1" x14ac:dyDescent="0.4">
      <c r="A357" s="30" t="str">
        <f t="shared" si="8"/>
        <v>modesg_out_bens_imoveisorigem_scp2_emss</v>
      </c>
      <c r="B357" s="142" t="s">
        <v>26</v>
      </c>
      <c r="C357" s="138" t="s">
        <v>311</v>
      </c>
      <c r="D357" s="134" t="s">
        <v>40</v>
      </c>
      <c r="E357" s="135" t="s">
        <v>312</v>
      </c>
      <c r="F357" s="134" t="s">
        <v>321</v>
      </c>
      <c r="G357" s="136" t="str">
        <f>VLOOKUP(A357,Plano_V3!$A$26:$G$592,7,0)</f>
        <v>2.1 Em Teste</v>
      </c>
      <c r="H357" s="136" t="s">
        <v>1931</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customHeight="1" x14ac:dyDescent="0.4">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customHeight="1" x14ac:dyDescent="0.4">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customHeight="1" x14ac:dyDescent="0.4">
      <c r="A360" s="30" t="str">
        <f t="shared" si="8"/>
        <v>modesg_out_bens_imoveisscp1_emss</v>
      </c>
      <c r="B360" s="142" t="s">
        <v>26</v>
      </c>
      <c r="C360" s="138" t="s">
        <v>311</v>
      </c>
      <c r="D360" s="134" t="s">
        <v>40</v>
      </c>
      <c r="E360" s="135" t="s">
        <v>312</v>
      </c>
      <c r="F360" s="134" t="s">
        <v>286</v>
      </c>
      <c r="G360" s="136" t="str">
        <f>VLOOKUP(A360,Plano_V3!$A$26:$G$592,7,0)</f>
        <v>2.1 Em Teste</v>
      </c>
      <c r="H360" s="136" t="s">
        <v>1931</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customHeight="1" x14ac:dyDescent="0.4">
      <c r="A361" s="30" t="str">
        <f t="shared" si="8"/>
        <v>modesg_out_bens_imoveisscp2_emss</v>
      </c>
      <c r="B361" s="142" t="s">
        <v>26</v>
      </c>
      <c r="C361" s="138" t="s">
        <v>311</v>
      </c>
      <c r="D361" s="134" t="s">
        <v>40</v>
      </c>
      <c r="E361" s="135" t="s">
        <v>312</v>
      </c>
      <c r="F361" s="134" t="s">
        <v>287</v>
      </c>
      <c r="G361" s="136" t="str">
        <f>VLOOKUP(A361,Plano_V3!$A$26:$G$592,7,0)</f>
        <v>2.1 Em Teste</v>
      </c>
      <c r="H361" s="136" t="s">
        <v>1931</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customHeight="1" x14ac:dyDescent="0.4">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customHeight="1" x14ac:dyDescent="0.4">
      <c r="A363" s="30" t="str">
        <f t="shared" si="8"/>
        <v>modesg_out_bens_imoveisunidade_funcional_scp1_emss</v>
      </c>
      <c r="B363" s="142" t="s">
        <v>26</v>
      </c>
      <c r="C363" s="138" t="s">
        <v>311</v>
      </c>
      <c r="D363" s="134" t="s">
        <v>40</v>
      </c>
      <c r="E363" s="135" t="s">
        <v>312</v>
      </c>
      <c r="F363" s="134" t="s">
        <v>323</v>
      </c>
      <c r="G363" s="136" t="str">
        <f>VLOOKUP(A363,Plano_V3!$A$26:$G$592,7,0)</f>
        <v>2.1 Em Teste</v>
      </c>
      <c r="H363" s="136" t="s">
        <v>1931</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customHeight="1" x14ac:dyDescent="0.4">
      <c r="A364" s="30" t="str">
        <f t="shared" si="8"/>
        <v>modesg_out_bens_imoveisunidade_funcional_scp2_emss</v>
      </c>
      <c r="B364" s="142" t="s">
        <v>26</v>
      </c>
      <c r="C364" s="138" t="s">
        <v>311</v>
      </c>
      <c r="D364" s="134" t="s">
        <v>40</v>
      </c>
      <c r="E364" s="135" t="s">
        <v>312</v>
      </c>
      <c r="F364" s="134" t="s">
        <v>324</v>
      </c>
      <c r="G364" s="136" t="str">
        <f>VLOOKUP(A364,Plano_V3!$A$26:$G$592,7,0)</f>
        <v>2.1 Em Teste</v>
      </c>
      <c r="H364" s="136" t="s">
        <v>1931</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customHeight="1" x14ac:dyDescent="0.4">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customHeight="1" x14ac:dyDescent="0.4">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customHeight="1" x14ac:dyDescent="0.4">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customHeight="1" x14ac:dyDescent="0.4">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customHeight="1" x14ac:dyDescent="0.4">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customHeight="1" x14ac:dyDescent="0.4">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customHeight="1" x14ac:dyDescent="0.4">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customHeight="1" x14ac:dyDescent="0.4">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customHeight="1" x14ac:dyDescent="0.4">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customHeight="1" x14ac:dyDescent="0.4">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customHeight="1" x14ac:dyDescent="0.4">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customHeight="1" x14ac:dyDescent="0.4">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customHeight="1" x14ac:dyDescent="0.4">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customHeight="1" x14ac:dyDescent="0.4">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customHeight="1" x14ac:dyDescent="0.4">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customHeight="1" x14ac:dyDescent="0.4">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customHeight="1" x14ac:dyDescent="0.4">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customHeight="1" x14ac:dyDescent="0.4">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customHeight="1" x14ac:dyDescent="0.4">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customHeight="1" x14ac:dyDescent="0.4">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x14ac:dyDescent="0.4">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customHeight="1" x14ac:dyDescent="0.4">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customHeight="1" x14ac:dyDescent="0.4">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customHeight="1" x14ac:dyDescent="0.4">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customHeight="1" x14ac:dyDescent="0.4">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x14ac:dyDescent="0.4">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customHeight="1" x14ac:dyDescent="0.4">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customHeight="1" x14ac:dyDescent="0.4">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customHeight="1" x14ac:dyDescent="0.4">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customHeight="1" x14ac:dyDescent="0.4">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customHeight="1" x14ac:dyDescent="0.4">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customHeight="1" x14ac:dyDescent="0.4">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customHeight="1" x14ac:dyDescent="0.4">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customHeight="1" x14ac:dyDescent="0.4">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customHeight="1" x14ac:dyDescent="0.4">
      <c r="A399" s="30" t="str">
        <f t="shared" si="8"/>
        <v>modesg_out_emss_vclsn.a.</v>
      </c>
      <c r="B399" s="142" t="s">
        <v>26</v>
      </c>
      <c r="C399" s="138" t="s">
        <v>311</v>
      </c>
      <c r="D399" s="134" t="s">
        <v>36</v>
      </c>
      <c r="E399" s="135" t="s">
        <v>332</v>
      </c>
      <c r="F399" s="134" t="s">
        <v>38</v>
      </c>
      <c r="G399" s="136" t="str">
        <f>VLOOKUP(A399,Plano_V3!$A$26:$G$592,7,0)</f>
        <v>6. Em implementação (re-especificação)</v>
      </c>
      <c r="H399" s="136" t="s">
        <v>619</v>
      </c>
      <c r="I399" s="143" t="s">
        <v>663</v>
      </c>
      <c r="J399" s="153">
        <f>IF(VLOOKUP(A399,'Aux - pivots1'!$A:$E,3,0)=0, "",VLOOKUP(A399,'Aux - pivots1'!$A:$E,3,0))</f>
        <v>45560</v>
      </c>
      <c r="K399" s="153">
        <f>IF(VLOOKUP(A399,'Aux - pivots1'!$A:$E,4,0)=0, "",VLOOKUP(A399,'Aux - pivots1'!$A:$E,4,0))</f>
        <v>45607</v>
      </c>
      <c r="L399" s="153" t="str">
        <f>IF(VLOOKUP(A399,'Aux - pivots1'!$A:$E,5,0)=0, "",VLOOKUP(A399,'Aux - pivots1'!$A:$E,5,0))</f>
        <v/>
      </c>
      <c r="M399" s="209"/>
      <c r="N399" s="209"/>
    </row>
    <row r="400" spans="1:14" ht="16.2" customHeight="1" x14ac:dyDescent="0.4">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x14ac:dyDescent="0.4">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x14ac:dyDescent="0.4">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x14ac:dyDescent="0.4">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customHeight="1" x14ac:dyDescent="0.4">
      <c r="A404" s="30" t="str">
        <f t="shared" si="9"/>
        <v>modesg_out_emss_vclscnsm_co2</v>
      </c>
      <c r="B404" s="142" t="s">
        <v>26</v>
      </c>
      <c r="C404" s="138" t="s">
        <v>311</v>
      </c>
      <c r="D404" s="134" t="s">
        <v>40</v>
      </c>
      <c r="E404" s="135" t="s">
        <v>332</v>
      </c>
      <c r="F404" s="134" t="s">
        <v>188</v>
      </c>
      <c r="G404" s="136" t="str">
        <f>VLOOKUP(A404,Plano_V3!$A$26:$G$592,7,0)</f>
        <v>6. Em implementação (re-especificação)</v>
      </c>
      <c r="H404" s="136" t="s">
        <v>619</v>
      </c>
      <c r="I404" s="143" t="s">
        <v>663</v>
      </c>
      <c r="J404" s="153">
        <f>IF(VLOOKUP(A404,'Aux - pivots1'!$A:$E,3,0)=0, "",VLOOKUP(A404,'Aux - pivots1'!$A:$E,3,0))</f>
        <v>45559</v>
      </c>
      <c r="K404" s="153">
        <f>IF(VLOOKUP(A404,'Aux - pivots1'!$A:$E,4,0)=0, "",VLOOKUP(A404,'Aux - pivots1'!$A:$E,4,0))</f>
        <v>45607</v>
      </c>
      <c r="L404" s="153" t="str">
        <f>IF(VLOOKUP(A404,'Aux - pivots1'!$A:$E,5,0)=0, "",VLOOKUP(A404,'Aux - pivots1'!$A:$E,5,0))</f>
        <v/>
      </c>
      <c r="M404" s="209"/>
      <c r="N404" s="209"/>
    </row>
    <row r="405" spans="1:14" ht="16.2" customHeight="1" x14ac:dyDescent="0.4">
      <c r="A405" s="30" t="str">
        <f t="shared" si="9"/>
        <v>modesg_out_emss_vclsorigem_scp1_emss</v>
      </c>
      <c r="B405" s="142" t="s">
        <v>26</v>
      </c>
      <c r="C405" s="138" t="s">
        <v>311</v>
      </c>
      <c r="D405" s="134" t="s">
        <v>40</v>
      </c>
      <c r="E405" s="135" t="s">
        <v>332</v>
      </c>
      <c r="F405" s="134" t="s">
        <v>320</v>
      </c>
      <c r="G405" s="136" t="str">
        <f>VLOOKUP(A405,Plano_V3!$A$26:$G$592,7,0)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customHeight="1" x14ac:dyDescent="0.4">
      <c r="A406" s="30" t="str">
        <f t="shared" si="9"/>
        <v>modesg_out_emss_vclsorigem_scp2_emss</v>
      </c>
      <c r="B406" s="142" t="s">
        <v>26</v>
      </c>
      <c r="C406" s="138" t="s">
        <v>311</v>
      </c>
      <c r="D406" s="134" t="s">
        <v>40</v>
      </c>
      <c r="E406" s="135" t="s">
        <v>332</v>
      </c>
      <c r="F406" s="134" t="s">
        <v>321</v>
      </c>
      <c r="G406" s="136" t="str">
        <f>VLOOKUP(A406,Plano_V3!$A$26:$G$592,7,0)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customHeight="1" x14ac:dyDescent="0.4">
      <c r="A407" s="30" t="str">
        <f t="shared" si="9"/>
        <v>modesg_out_emss_vclsorigem_scp3_emss</v>
      </c>
      <c r="B407" s="142" t="s">
        <v>26</v>
      </c>
      <c r="C407" s="138" t="s">
        <v>311</v>
      </c>
      <c r="D407" s="134" t="s">
        <v>40</v>
      </c>
      <c r="E407" s="135" t="s">
        <v>332</v>
      </c>
      <c r="F407" s="134" t="s">
        <v>322</v>
      </c>
      <c r="G407" s="136" t="str">
        <f>VLOOKUP(A407,Plano_V3!$A$26:$G$592,7,0)</f>
        <v>6. Em implementação (re-especificação)</v>
      </c>
      <c r="H407" s="136" t="s">
        <v>619</v>
      </c>
      <c r="I407" s="143" t="s">
        <v>663</v>
      </c>
      <c r="J407" s="153">
        <f>IF(VLOOKUP(A407,'Aux - pivots1'!$A:$E,3,0)=0, "",VLOOKUP(A407,'Aux - pivots1'!$A:$E,3,0))</f>
        <v>45569</v>
      </c>
      <c r="K407" s="153">
        <f>IF(VLOOKUP(A407,'Aux - pivots1'!$A:$E,4,0)=0, "",VLOOKUP(A407,'Aux - pivots1'!$A:$E,4,0))</f>
        <v>45607</v>
      </c>
      <c r="L407" s="153" t="str">
        <f>IF(VLOOKUP(A407,'Aux - pivots1'!$A:$E,5,0)=0, "",VLOOKUP(A407,'Aux - pivots1'!$A:$E,5,0))</f>
        <v/>
      </c>
      <c r="M407" s="209"/>
      <c r="N407" s="209"/>
    </row>
    <row r="408" spans="1:14" ht="16.2" customHeight="1" x14ac:dyDescent="0.4">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customHeight="1" x14ac:dyDescent="0.4">
      <c r="A409" s="30" t="str">
        <f t="shared" si="9"/>
        <v>modesg_out_emss_vclsscp1_emss</v>
      </c>
      <c r="B409" s="142" t="s">
        <v>26</v>
      </c>
      <c r="C409" s="138" t="s">
        <v>311</v>
      </c>
      <c r="D409" s="134" t="s">
        <v>40</v>
      </c>
      <c r="E409" s="135" t="s">
        <v>332</v>
      </c>
      <c r="F409" s="134" t="s">
        <v>286</v>
      </c>
      <c r="G409" s="136" t="str">
        <f>VLOOKUP(A409,Plano_V3!$A$26:$G$592,7,0)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customHeight="1" x14ac:dyDescent="0.4">
      <c r="A410" s="30" t="str">
        <f t="shared" si="9"/>
        <v>modesg_out_emss_vclsscp2_emss</v>
      </c>
      <c r="B410" s="142" t="s">
        <v>26</v>
      </c>
      <c r="C410" s="138" t="s">
        <v>311</v>
      </c>
      <c r="D410" s="134" t="s">
        <v>40</v>
      </c>
      <c r="E410" s="135" t="s">
        <v>332</v>
      </c>
      <c r="F410" s="134" t="s">
        <v>287</v>
      </c>
      <c r="G410" s="136" t="str">
        <f>VLOOKUP(A410,Plano_V3!$A$26:$G$592,7,0)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customHeight="1" x14ac:dyDescent="0.4">
      <c r="A411" s="30" t="str">
        <f t="shared" si="9"/>
        <v>modesg_out_emss_vclsscp3_emss</v>
      </c>
      <c r="B411" s="142" t="s">
        <v>26</v>
      </c>
      <c r="C411" s="138" t="s">
        <v>311</v>
      </c>
      <c r="D411" s="134" t="s">
        <v>40</v>
      </c>
      <c r="E411" s="135" t="s">
        <v>332</v>
      </c>
      <c r="F411" s="134" t="s">
        <v>288</v>
      </c>
      <c r="G411" s="136" t="str">
        <f>VLOOKUP(A411,Plano_V3!$A$26:$G$592,7,0)</f>
        <v>6. Em implementação (re-especificação)</v>
      </c>
      <c r="H411" s="136" t="s">
        <v>619</v>
      </c>
      <c r="I411" s="143" t="s">
        <v>663</v>
      </c>
      <c r="J411" s="153">
        <f>IF(VLOOKUP(A411,'Aux - pivots1'!$A:$E,3,0)=0, "",VLOOKUP(A411,'Aux - pivots1'!$A:$E,3,0))</f>
        <v>45569</v>
      </c>
      <c r="K411" s="153">
        <f>IF(VLOOKUP(A411,'Aux - pivots1'!$A:$E,4,0)=0, "",VLOOKUP(A411,'Aux - pivots1'!$A:$E,4,0))</f>
        <v>45607</v>
      </c>
      <c r="L411" s="153" t="str">
        <f>IF(VLOOKUP(A411,'Aux - pivots1'!$A:$E,5,0)=0, "",VLOOKUP(A411,'Aux - pivots1'!$A:$E,5,0))</f>
        <v/>
      </c>
      <c r="M411" s="209"/>
      <c r="N411" s="209"/>
    </row>
    <row r="412" spans="1:14" ht="16.2" customHeight="1" x14ac:dyDescent="0.4">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x14ac:dyDescent="0.4">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x14ac:dyDescent="0.4">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customHeight="1" x14ac:dyDescent="0.4">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x14ac:dyDescent="0.4">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x14ac:dyDescent="0.4">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x14ac:dyDescent="0.4">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x14ac:dyDescent="0.4">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customHeight="1" x14ac:dyDescent="0.4">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customHeight="1" x14ac:dyDescent="0.4">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customHeight="1" x14ac:dyDescent="0.4">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customHeight="1" x14ac:dyDescent="0.4">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x14ac:dyDescent="0.4">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x14ac:dyDescent="0.4">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x14ac:dyDescent="0.4">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customHeight="1" x14ac:dyDescent="0.4">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customHeight="1" x14ac:dyDescent="0.4">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x14ac:dyDescent="0.4">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x14ac:dyDescent="0.4">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x14ac:dyDescent="0.4">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x14ac:dyDescent="0.4">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x14ac:dyDescent="0.4">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x14ac:dyDescent="0.4">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x14ac:dyDescent="0.4">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x14ac:dyDescent="0.4">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x14ac:dyDescent="0.4">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x14ac:dyDescent="0.4">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x14ac:dyDescent="0.4">
      <c r="A439" s="30" t="str">
        <f t="shared" si="9"/>
        <v>lt003_entitypure_capex_cca</v>
      </c>
      <c r="B439" s="142" t="s">
        <v>26</v>
      </c>
      <c r="C439" s="138" t="s">
        <v>26</v>
      </c>
      <c r="D439" s="134" t="s">
        <v>40</v>
      </c>
      <c r="E439" s="137" t="s">
        <v>336</v>
      </c>
      <c r="F439" s="137" t="s">
        <v>347</v>
      </c>
      <c r="G439" s="136" t="str">
        <f>VLOOKUP(A439,Plano_V3!$A$26:$G$592,7,0)</f>
        <v>6. Em implementação (re-especificação)</v>
      </c>
      <c r="H439" s="136" t="s">
        <v>619</v>
      </c>
      <c r="I439" s="143"/>
      <c r="J439" s="153" t="str">
        <f>IF(VLOOKUP(A439,'Aux - pivots1'!$A:$E,3,0)=0, "",VLOOKUP(A439,'Aux - pivots1'!$A:$E,3,0))</f>
        <v/>
      </c>
      <c r="K439" s="153">
        <f>IF(VLOOKUP(A439,'Aux - pivots1'!$A:$E,4,0)=0, "",VLOOKUP(A439,'Aux - pivots1'!$A:$E,4,0))</f>
        <v>45611</v>
      </c>
      <c r="L439" s="153" t="str">
        <f>IF(VLOOKUP(A439,'Aux - pivots1'!$A:$E,5,0)=0, "",VLOOKUP(A439,'Aux - pivots1'!$A:$E,5,0))</f>
        <v/>
      </c>
      <c r="M439" s="209"/>
      <c r="N439" s="209"/>
    </row>
    <row r="440" spans="1:14" ht="16.2" customHeight="1" x14ac:dyDescent="0.4">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x14ac:dyDescent="0.4">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x14ac:dyDescent="0.4">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x14ac:dyDescent="0.4">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x14ac:dyDescent="0.4">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x14ac:dyDescent="0.4">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f>IF(VLOOKUP(A445,'Aux - pivots1'!$A:$E,4,0)=0, "",VLOOKUP(A445,'Aux - pivots1'!$A:$E,4,0))</f>
        <v>45611</v>
      </c>
      <c r="L445" s="153" t="str">
        <f>IF(VLOOKUP(A445,'Aux - pivots1'!$A:$E,5,0)=0, "",VLOOKUP(A445,'Aux - pivots1'!$A:$E,5,0))</f>
        <v/>
      </c>
      <c r="M445" s="209"/>
      <c r="N445" s="209"/>
    </row>
    <row r="446" spans="1:14" ht="16.2" customHeight="1" x14ac:dyDescent="0.4">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x14ac:dyDescent="0.4">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x14ac:dyDescent="0.4">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x14ac:dyDescent="0.4">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x14ac:dyDescent="0.4">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x14ac:dyDescent="0.4">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x14ac:dyDescent="0.4">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x14ac:dyDescent="0.4">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f>IF(VLOOKUP(A453,'Aux - pivots1'!$A:$E,4,0)=0, "",VLOOKUP(A453,'Aux - pivots1'!$A:$E,4,0))</f>
        <v>45611</v>
      </c>
      <c r="L453" s="153" t="str">
        <f>IF(VLOOKUP(A453,'Aux - pivots1'!$A:$E,5,0)=0, "",VLOOKUP(A453,'Aux - pivots1'!$A:$E,5,0))</f>
        <v/>
      </c>
      <c r="M453" s="209"/>
      <c r="N453" s="209"/>
    </row>
    <row r="454" spans="1:14" ht="16.2" customHeight="1" x14ac:dyDescent="0.4">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x14ac:dyDescent="0.4">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2" customHeight="1" x14ac:dyDescent="0.4">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f>IF(VLOOKUP(A456,'Aux - pivots1'!$A:$E,4,0)=0, "",VLOOKUP(A456,'Aux - pivots1'!$A:$E,4,0))</f>
        <v>45611</v>
      </c>
      <c r="L456" s="153" t="str">
        <f>IF(VLOOKUP(A456,'Aux - pivots1'!$A:$E,5,0)=0, "",VLOOKUP(A456,'Aux - pivots1'!$A:$E,5,0))</f>
        <v/>
      </c>
      <c r="M456" s="209">
        <v>45593</v>
      </c>
      <c r="N456" s="209"/>
    </row>
    <row r="457" spans="1:14" ht="16.2" customHeight="1" x14ac:dyDescent="0.4">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f>IF(VLOOKUP(A457,'Aux - pivots1'!$A:$E,4,0)=0, "",VLOOKUP(A457,'Aux - pivots1'!$A:$E,4,0))</f>
        <v>45611</v>
      </c>
      <c r="L457" s="153" t="str">
        <f>IF(VLOOKUP(A457,'Aux - pivots1'!$A:$E,5,0)=0, "",VLOOKUP(A457,'Aux - pivots1'!$A:$E,5,0))</f>
        <v/>
      </c>
      <c r="M457" s="209">
        <v>45593</v>
      </c>
      <c r="N457" s="209"/>
    </row>
    <row r="458" spans="1:14" ht="16.2" customHeight="1" x14ac:dyDescent="0.4">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x14ac:dyDescent="0.4">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x14ac:dyDescent="0.4">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x14ac:dyDescent="0.4">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x14ac:dyDescent="0.4">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f>IF(VLOOKUP(A462,'Aux - pivots1'!$A:$E,4,0)=0, "",VLOOKUP(A462,'Aux - pivots1'!$A:$E,4,0))</f>
        <v>45611</v>
      </c>
      <c r="L462" s="153" t="str">
        <f>IF(VLOOKUP(A462,'Aux - pivots1'!$A:$E,5,0)=0, "",VLOOKUP(A462,'Aux - pivots1'!$A:$E,5,0))</f>
        <v/>
      </c>
      <c r="M462" s="209"/>
      <c r="N462" s="209"/>
    </row>
    <row r="463" spans="1:14" ht="16.2" customHeight="1" x14ac:dyDescent="0.4">
      <c r="A463" s="30" t="str">
        <f t="shared" si="9"/>
        <v>lt004_protectionep_scr</v>
      </c>
      <c r="B463" s="142" t="s">
        <v>26</v>
      </c>
      <c r="C463" s="138" t="s">
        <v>26</v>
      </c>
      <c r="D463" s="134" t="s">
        <v>40</v>
      </c>
      <c r="E463" s="137" t="s">
        <v>369</v>
      </c>
      <c r="F463" s="137" t="s">
        <v>371</v>
      </c>
      <c r="G463" s="136" t="str">
        <f>VLOOKUP(A463,Plano_V3!$A$26:$G$592,7,0)</f>
        <v>2.1 Em Teste</v>
      </c>
      <c r="H463" s="136" t="s">
        <v>1931</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x14ac:dyDescent="0.4">
      <c r="A464" s="30" t="str">
        <f t="shared" si="9"/>
        <v>lt004_protectiontyp_epc_lbl</v>
      </c>
      <c r="B464" s="142" t="s">
        <v>26</v>
      </c>
      <c r="C464" s="138" t="s">
        <v>26</v>
      </c>
      <c r="D464" s="134" t="s">
        <v>40</v>
      </c>
      <c r="E464" s="137" t="s">
        <v>369</v>
      </c>
      <c r="F464" s="137" t="s">
        <v>372</v>
      </c>
      <c r="G464" s="136" t="str">
        <f>VLOOKUP(A464,Plano_V3!$A$26:$G$592,7,0)</f>
        <v>2.1 Em Teste</v>
      </c>
      <c r="H464" s="136" t="s">
        <v>1931</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x14ac:dyDescent="0.4">
      <c r="A465" s="30" t="str">
        <f t="shared" si="9"/>
        <v>lt004_protectionepc_lbl</v>
      </c>
      <c r="B465" s="142" t="s">
        <v>26</v>
      </c>
      <c r="C465" s="138" t="s">
        <v>26</v>
      </c>
      <c r="D465" s="134" t="s">
        <v>40</v>
      </c>
      <c r="E465" s="137" t="s">
        <v>369</v>
      </c>
      <c r="F465" s="137" t="s">
        <v>373</v>
      </c>
      <c r="G465" s="136" t="str">
        <f>VLOOKUP(A465,Plano_V3!$A$26:$G$592,7,0)</f>
        <v>2.1 Em Teste</v>
      </c>
      <c r="H465" s="136" t="s">
        <v>1931</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x14ac:dyDescent="0.4">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9"/>
      <c r="N466" s="209"/>
    </row>
    <row r="467" spans="1:14" ht="16.2" customHeight="1" x14ac:dyDescent="0.4">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f>IF(VLOOKUP(A467,'Aux - pivots1'!$A:$E,5,0)=0, "",VLOOKUP(A467,'Aux - pivots1'!$A:$E,5,0))</f>
        <v>45596</v>
      </c>
      <c r="M467" s="209"/>
      <c r="N467" s="209"/>
    </row>
    <row r="468" spans="1:14" ht="16.2" customHeight="1" x14ac:dyDescent="0.4">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f>IF(VLOOKUP(A468,'Aux - pivots1'!$A:$E,5,0)=0, "",VLOOKUP(A468,'Aux - pivots1'!$A:$E,5,0))</f>
        <v>45596</v>
      </c>
      <c r="M468" s="209"/>
      <c r="N468" s="209"/>
    </row>
    <row r="469" spans="1:14" ht="16.2" customHeight="1" x14ac:dyDescent="0.4">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f>IF(VLOOKUP(A469,'Aux - pivots1'!$A:$E,5,0)=0, "",VLOOKUP(A469,'Aux - pivots1'!$A:$E,5,0))</f>
        <v>45596</v>
      </c>
      <c r="M469" s="209"/>
      <c r="N469" s="209"/>
    </row>
    <row r="470" spans="1:14" ht="16.2" customHeight="1" x14ac:dyDescent="0.4">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f>IF(VLOOKUP(A470,'Aux - pivots1'!$A:$E,5,0)=0, "",VLOOKUP(A470,'Aux - pivots1'!$A:$E,5,0))</f>
        <v>45596</v>
      </c>
      <c r="M470" s="209"/>
      <c r="N470" s="209"/>
    </row>
    <row r="471" spans="1:14" ht="16.2" customHeight="1" x14ac:dyDescent="0.4">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f>IF(VLOOKUP(A471,'Aux - pivots1'!$A:$E,5,0)=0, "",VLOOKUP(A471,'Aux - pivots1'!$A:$E,5,0))</f>
        <v>45596</v>
      </c>
      <c r="M471" s="209"/>
      <c r="N471" s="209"/>
    </row>
    <row r="472" spans="1:14" ht="16.2" customHeight="1" x14ac:dyDescent="0.4">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x14ac:dyDescent="0.4">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x14ac:dyDescent="0.4">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f>IF(VLOOKUP(A474,'Aux - pivots1'!$A:$E,4,0)=0, "",VLOOKUP(A474,'Aux - pivots1'!$A:$E,4,0))</f>
        <v>374329</v>
      </c>
      <c r="L474" s="153" t="str">
        <f>IF(VLOOKUP(A474,'Aux - pivots1'!$A:$E,5,0)=0, "",VLOOKUP(A474,'Aux - pivots1'!$A:$E,5,0))</f>
        <v/>
      </c>
      <c r="M474" s="209">
        <v>45595</v>
      </c>
      <c r="N474" s="209"/>
    </row>
    <row r="475" spans="1:14" ht="16.2" customHeight="1" x14ac:dyDescent="0.4">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x14ac:dyDescent="0.4">
      <c r="A476" s="30" t="str">
        <f t="shared" si="10"/>
        <v>lt007_instr_activityenvrnmntl_objctv</v>
      </c>
      <c r="B476" s="142" t="s">
        <v>26</v>
      </c>
      <c r="C476" s="138" t="s">
        <v>26</v>
      </c>
      <c r="D476" s="134" t="s">
        <v>40</v>
      </c>
      <c r="E476" s="137" t="s">
        <v>1965</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x14ac:dyDescent="0.4">
      <c r="A477" s="30" t="str">
        <f t="shared" si="10"/>
        <v>lt007_instr_activitytyp_actvty</v>
      </c>
      <c r="B477" s="142" t="s">
        <v>26</v>
      </c>
      <c r="C477" s="138" t="s">
        <v>26</v>
      </c>
      <c r="D477" s="134" t="s">
        <v>40</v>
      </c>
      <c r="E477" s="137" t="s">
        <v>1965</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x14ac:dyDescent="0.4">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x14ac:dyDescent="0.4">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f>IF(VLOOKUP(A479,'Aux - pivots1'!$A:$E,4,0)=0, "",VLOOKUP(A479,'Aux - pivots1'!$A:$E,4,0))</f>
        <v>45611</v>
      </c>
      <c r="L479" s="153" t="str">
        <f>IF(VLOOKUP(A479,'Aux - pivots1'!$A:$E,5,0)=0, "",VLOOKUP(A479,'Aux - pivots1'!$A:$E,5,0))</f>
        <v/>
      </c>
      <c r="M479" s="209">
        <v>45593</v>
      </c>
      <c r="N479" s="209"/>
    </row>
    <row r="480" spans="1:14" ht="16.2" x14ac:dyDescent="0.4">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f>IF(VLOOKUP(A480,'Aux - pivots1'!$A:$E,4,0)=0, "",VLOOKUP(A480,'Aux - pivots1'!$A:$E,4,0))</f>
        <v>45611</v>
      </c>
      <c r="L480" s="153" t="str">
        <f>IF(VLOOKUP(A480,'Aux - pivots1'!$A:$E,5,0)=0, "",VLOOKUP(A480,'Aux - pivots1'!$A:$E,5,0))</f>
        <v/>
      </c>
      <c r="M480" s="209">
        <v>45593</v>
      </c>
      <c r="N480" s="209"/>
    </row>
    <row r="481" spans="1:14" ht="16.2" x14ac:dyDescent="0.4">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f>IF(VLOOKUP(A481,'Aux - pivots1'!$A:$E,4,0)=0, "",VLOOKUP(A481,'Aux - pivots1'!$A:$E,4,0))</f>
        <v>45611</v>
      </c>
      <c r="L481" s="153" t="str">
        <f>IF(VLOOKUP(A481,'Aux - pivots1'!$A:$E,5,0)=0, "",VLOOKUP(A481,'Aux - pivots1'!$A:$E,5,0))</f>
        <v/>
      </c>
      <c r="M481" s="209">
        <v>45593</v>
      </c>
      <c r="N481" s="209"/>
    </row>
    <row r="482" spans="1:14" ht="16.2" customHeight="1" x14ac:dyDescent="0.4">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1938</v>
      </c>
      <c r="J482" s="153">
        <f>IF(VLOOKUP(A482,'Aux - pivots1'!$A:$E,3,0)=0, "",VLOOKUP(A482,'Aux - pivots1'!$A:$E,3,0))</f>
        <v>45593</v>
      </c>
      <c r="K482" s="153">
        <f>IF(VLOOKUP(A482,'Aux - pivots1'!$A:$E,4,0)=0, "",VLOOKUP(A482,'Aux - pivots1'!$A:$E,4,0))</f>
        <v>45624</v>
      </c>
      <c r="L482" s="153" t="str">
        <f>IF(VLOOKUP(A482,'Aux - pivots1'!$A:$E,5,0)=0, "",VLOOKUP(A482,'Aux - pivots1'!$A:$E,5,0))</f>
        <v/>
      </c>
      <c r="M482" s="209">
        <v>45593</v>
      </c>
      <c r="N482" s="209"/>
    </row>
    <row r="483" spans="1:14" ht="16.2" customHeight="1" x14ac:dyDescent="0.4">
      <c r="A483" s="30" t="str">
        <f t="shared" si="10"/>
        <v>lt827_mthd_usd_instrmntambito</v>
      </c>
      <c r="B483" s="142" t="s">
        <v>26</v>
      </c>
      <c r="C483" s="138" t="s">
        <v>26</v>
      </c>
      <c r="D483" s="134" t="s">
        <v>40</v>
      </c>
      <c r="E483" s="137" t="s">
        <v>1966</v>
      </c>
      <c r="F483" s="137" t="s">
        <v>391</v>
      </c>
      <c r="G483" s="136" t="str">
        <f>VLOOKUP(A483,Plano_V3!$A$26:$G$592,7,0)</f>
        <v>6. Em implementação (re-especificação)</v>
      </c>
      <c r="H483" s="136" t="s">
        <v>619</v>
      </c>
      <c r="I483" s="143"/>
      <c r="J483" s="153">
        <f>IF(VLOOKUP(A483,'Aux - pivots1'!$A:$E,3,0)=0, "",VLOOKUP(A483,'Aux - pivots1'!$A:$E,3,0))</f>
        <v>45593</v>
      </c>
      <c r="K483" s="153">
        <f>IF(VLOOKUP(A483,'Aux - pivots1'!$A:$E,4,0)=0, "",VLOOKUP(A483,'Aux - pivots1'!$A:$E,4,0))</f>
        <v>45611</v>
      </c>
      <c r="L483" s="153" t="str">
        <f>IF(VLOOKUP(A483,'Aux - pivots1'!$A:$E,5,0)=0, "",VLOOKUP(A483,'Aux - pivots1'!$A:$E,5,0))</f>
        <v/>
      </c>
      <c r="M483" s="209">
        <v>45593</v>
      </c>
      <c r="N483" s="209"/>
    </row>
    <row r="484" spans="1:14" ht="16.2" customHeight="1" x14ac:dyDescent="0.4">
      <c r="A484" s="30" t="str">
        <f t="shared" si="10"/>
        <v>lt827_mthd_usd_instrmntref_date</v>
      </c>
      <c r="B484" s="142" t="s">
        <v>26</v>
      </c>
      <c r="C484" s="138" t="s">
        <v>26</v>
      </c>
      <c r="D484" s="134" t="s">
        <v>40</v>
      </c>
      <c r="E484" s="137" t="s">
        <v>1966</v>
      </c>
      <c r="F484" s="137" t="s">
        <v>208</v>
      </c>
      <c r="G484" s="136" t="str">
        <f>VLOOKUP(A484,Plano_V3!$A$26:$G$592,7,0)</f>
        <v>6. Em implementação (re-especificação)</v>
      </c>
      <c r="H484" s="136" t="s">
        <v>619</v>
      </c>
      <c r="I484" s="143"/>
      <c r="J484" s="153">
        <f>IF(VLOOKUP(A484,'Aux - pivots1'!$A:$E,3,0)=0, "",VLOOKUP(A484,'Aux - pivots1'!$A:$E,3,0))</f>
        <v>45593</v>
      </c>
      <c r="K484" s="153">
        <f>IF(VLOOKUP(A484,'Aux - pivots1'!$A:$E,4,0)=0, "",VLOOKUP(A484,'Aux - pivots1'!$A:$E,4,0))</f>
        <v>45611</v>
      </c>
      <c r="L484" s="153" t="str">
        <f>IF(VLOOKUP(A484,'Aux - pivots1'!$A:$E,5,0)=0, "",VLOOKUP(A484,'Aux - pivots1'!$A:$E,5,0))</f>
        <v/>
      </c>
      <c r="M484" s="209">
        <v>45593</v>
      </c>
      <c r="N484" s="209"/>
    </row>
    <row r="485" spans="1:14" ht="16.2" customHeight="1" x14ac:dyDescent="0.4">
      <c r="A485" s="30" t="str">
        <f t="shared" si="10"/>
        <v>lt827_mthd_usd_instrmntordem</v>
      </c>
      <c r="B485" s="142" t="s">
        <v>26</v>
      </c>
      <c r="C485" s="138" t="s">
        <v>26</v>
      </c>
      <c r="D485" s="134" t="s">
        <v>40</v>
      </c>
      <c r="E485" s="137" t="s">
        <v>1966</v>
      </c>
      <c r="F485" s="137" t="s">
        <v>211</v>
      </c>
      <c r="G485" s="136" t="str">
        <f>VLOOKUP(A485,Plano_V3!$A$26:$G$592,7,0)</f>
        <v>6. Em implementação (re-especificação)</v>
      </c>
      <c r="H485" s="136" t="s">
        <v>619</v>
      </c>
      <c r="I485" s="143"/>
      <c r="J485" s="153">
        <f>IF(VLOOKUP(A485,'Aux - pivots1'!$A:$E,3,0)=0, "",VLOOKUP(A485,'Aux - pivots1'!$A:$E,3,0))</f>
        <v>45593</v>
      </c>
      <c r="K485" s="153">
        <f>IF(VLOOKUP(A485,'Aux - pivots1'!$A:$E,4,0)=0, "",VLOOKUP(A485,'Aux - pivots1'!$A:$E,4,0))</f>
        <v>45611</v>
      </c>
      <c r="L485" s="153" t="str">
        <f>IF(VLOOKUP(A485,'Aux - pivots1'!$A:$E,5,0)=0, "",VLOOKUP(A485,'Aux - pivots1'!$A:$E,5,0))</f>
        <v/>
      </c>
      <c r="M485" s="209">
        <v>45593</v>
      </c>
      <c r="N485" s="209"/>
    </row>
    <row r="486" spans="1:14" ht="16.2" customHeight="1" x14ac:dyDescent="0.4">
      <c r="A486" s="30" t="str">
        <f t="shared" si="10"/>
        <v>lt827_mthd_usd_instrmnttabela</v>
      </c>
      <c r="B486" s="142" t="s">
        <v>26</v>
      </c>
      <c r="C486" s="138" t="s">
        <v>26</v>
      </c>
      <c r="D486" s="134" t="s">
        <v>40</v>
      </c>
      <c r="E486" s="137" t="s">
        <v>1966</v>
      </c>
      <c r="F486" s="137" t="s">
        <v>392</v>
      </c>
      <c r="G486" s="136" t="str">
        <f>VLOOKUP(A486,Plano_V3!$A$26:$G$592,7,0)</f>
        <v>6. Em implementação (re-especificação)</v>
      </c>
      <c r="H486" s="136" t="s">
        <v>619</v>
      </c>
      <c r="I486" s="143"/>
      <c r="J486" s="153">
        <f>IF(VLOOKUP(A486,'Aux - pivots1'!$A:$E,3,0)=0, "",VLOOKUP(A486,'Aux - pivots1'!$A:$E,3,0))</f>
        <v>45593</v>
      </c>
      <c r="K486" s="153">
        <f>IF(VLOOKUP(A486,'Aux - pivots1'!$A:$E,4,0)=0, "",VLOOKUP(A486,'Aux - pivots1'!$A:$E,4,0))</f>
        <v>45611</v>
      </c>
      <c r="L486" s="153" t="str">
        <f>IF(VLOOKUP(A486,'Aux - pivots1'!$A:$E,5,0)=0, "",VLOOKUP(A486,'Aux - pivots1'!$A:$E,5,0))</f>
        <v/>
      </c>
      <c r="M486" s="209">
        <v>45593</v>
      </c>
      <c r="N486" s="209"/>
    </row>
    <row r="487" spans="1:14" ht="16.2" x14ac:dyDescent="0.4">
      <c r="A487" s="30" t="str">
        <f t="shared" si="10"/>
        <v>lt827_mthd_usd_instrmntorigem_scp1_emss</v>
      </c>
      <c r="B487" s="142" t="s">
        <v>26</v>
      </c>
      <c r="C487" s="138" t="s">
        <v>26</v>
      </c>
      <c r="D487" s="134" t="s">
        <v>40</v>
      </c>
      <c r="E487" s="137" t="s">
        <v>1966</v>
      </c>
      <c r="F487" s="137" t="s">
        <v>320</v>
      </c>
      <c r="G487" s="136" t="str">
        <f>VLOOKUP(A487,Plano_V3!$A$26:$G$592,7,0)</f>
        <v>6. Em implementação (re-especificação)</v>
      </c>
      <c r="H487" s="136" t="s">
        <v>619</v>
      </c>
      <c r="I487" s="143"/>
      <c r="J487" s="153">
        <f>IF(VLOOKUP(A487,'Aux - pivots1'!$A:$E,3,0)=0, "",VLOOKUP(A487,'Aux - pivots1'!$A:$E,3,0))</f>
        <v>45593</v>
      </c>
      <c r="K487" s="153">
        <f>IF(VLOOKUP(A487,'Aux - pivots1'!$A:$E,4,0)=0, "",VLOOKUP(A487,'Aux - pivots1'!$A:$E,4,0))</f>
        <v>45611</v>
      </c>
      <c r="L487" s="153" t="str">
        <f>IF(VLOOKUP(A487,'Aux - pivots1'!$A:$E,5,0)=0, "",VLOOKUP(A487,'Aux - pivots1'!$A:$E,5,0))</f>
        <v/>
      </c>
      <c r="M487" s="209">
        <v>45593</v>
      </c>
      <c r="N487" s="209"/>
    </row>
    <row r="488" spans="1:14" ht="16.2" x14ac:dyDescent="0.4">
      <c r="A488" s="30" t="str">
        <f t="shared" si="10"/>
        <v>lt827_mthd_usd_instrmntorigem_scp2_emss</v>
      </c>
      <c r="B488" s="142" t="s">
        <v>26</v>
      </c>
      <c r="C488" s="138" t="s">
        <v>26</v>
      </c>
      <c r="D488" s="134" t="s">
        <v>40</v>
      </c>
      <c r="E488" s="137" t="s">
        <v>1966</v>
      </c>
      <c r="F488" s="137" t="s">
        <v>321</v>
      </c>
      <c r="G488" s="136" t="str">
        <f>VLOOKUP(A488,Plano_V3!$A$26:$G$592,7,0)</f>
        <v>6. Em implementação (re-especificação)</v>
      </c>
      <c r="H488" s="136" t="s">
        <v>619</v>
      </c>
      <c r="I488" s="143"/>
      <c r="J488" s="153">
        <f>IF(VLOOKUP(A488,'Aux - pivots1'!$A:$E,3,0)=0, "",VLOOKUP(A488,'Aux - pivots1'!$A:$E,3,0))</f>
        <v>45593</v>
      </c>
      <c r="K488" s="153">
        <f>IF(VLOOKUP(A488,'Aux - pivots1'!$A:$E,4,0)=0, "",VLOOKUP(A488,'Aux - pivots1'!$A:$E,4,0))</f>
        <v>45611</v>
      </c>
      <c r="L488" s="153" t="str">
        <f>IF(VLOOKUP(A488,'Aux - pivots1'!$A:$E,5,0)=0, "",VLOOKUP(A488,'Aux - pivots1'!$A:$E,5,0))</f>
        <v/>
      </c>
      <c r="M488" s="209">
        <v>45593</v>
      </c>
      <c r="N488" s="209"/>
    </row>
    <row r="489" spans="1:14" ht="16.2" x14ac:dyDescent="0.4">
      <c r="A489" s="30" t="str">
        <f t="shared" si="10"/>
        <v>lt827_mthd_usd_instrmntorigem_scp3_emss</v>
      </c>
      <c r="B489" s="142" t="s">
        <v>26</v>
      </c>
      <c r="C489" s="138" t="s">
        <v>26</v>
      </c>
      <c r="D489" s="134" t="s">
        <v>40</v>
      </c>
      <c r="E489" s="137" t="s">
        <v>1966</v>
      </c>
      <c r="F489" s="137" t="s">
        <v>322</v>
      </c>
      <c r="G489" s="136" t="str">
        <f>VLOOKUP(A489,Plano_V3!$A$26:$G$592,7,0)</f>
        <v>6. Em implementação (re-especificação)</v>
      </c>
      <c r="H489" s="136" t="s">
        <v>619</v>
      </c>
      <c r="I489" s="143"/>
      <c r="J489" s="153">
        <f>IF(VLOOKUP(A489,'Aux - pivots1'!$A:$E,3,0)=0, "",VLOOKUP(A489,'Aux - pivots1'!$A:$E,3,0))</f>
        <v>45593</v>
      </c>
      <c r="K489" s="153">
        <f>IF(VLOOKUP(A489,'Aux - pivots1'!$A:$E,4,0)=0, "",VLOOKUP(A489,'Aux - pivots1'!$A:$E,4,0))</f>
        <v>45611</v>
      </c>
      <c r="L489" s="153" t="str">
        <f>IF(VLOOKUP(A489,'Aux - pivots1'!$A:$E,5,0)=0, "",VLOOKUP(A489,'Aux - pivots1'!$A:$E,5,0))</f>
        <v/>
      </c>
      <c r="M489" s="209">
        <v>45593</v>
      </c>
      <c r="N489" s="209"/>
    </row>
    <row r="490" spans="1:14" ht="16.2" x14ac:dyDescent="0.4">
      <c r="A490" s="30" t="str">
        <f t="shared" si="10"/>
        <v>lt827_mthd_usd_instrmntmthd_usd_instrmnt_scp_1</v>
      </c>
      <c r="B490" s="142" t="s">
        <v>26</v>
      </c>
      <c r="C490" s="138" t="s">
        <v>26</v>
      </c>
      <c r="D490" s="134" t="s">
        <v>40</v>
      </c>
      <c r="E490" s="137" t="s">
        <v>1966</v>
      </c>
      <c r="F490" s="137" t="s">
        <v>386</v>
      </c>
      <c r="G490" s="136" t="str">
        <f>VLOOKUP(A490,Plano_V3!$A$26:$G$592,7,0)</f>
        <v>6. Em implementação (re-especificação)</v>
      </c>
      <c r="H490" s="136" t="s">
        <v>619</v>
      </c>
      <c r="I490" s="143"/>
      <c r="J490" s="153">
        <f>IF(VLOOKUP(A490,'Aux - pivots1'!$A:$E,3,0)=0, "",VLOOKUP(A490,'Aux - pivots1'!$A:$E,3,0))</f>
        <v>45593</v>
      </c>
      <c r="K490" s="153">
        <f>IF(VLOOKUP(A490,'Aux - pivots1'!$A:$E,4,0)=0, "",VLOOKUP(A490,'Aux - pivots1'!$A:$E,4,0))</f>
        <v>45611</v>
      </c>
      <c r="L490" s="153" t="str">
        <f>IF(VLOOKUP(A490,'Aux - pivots1'!$A:$E,5,0)=0, "",VLOOKUP(A490,'Aux - pivots1'!$A:$E,5,0))</f>
        <v/>
      </c>
      <c r="M490" s="209">
        <v>45593</v>
      </c>
      <c r="N490" s="209"/>
    </row>
    <row r="491" spans="1:14" ht="16.2" x14ac:dyDescent="0.4">
      <c r="A491" s="30" t="str">
        <f t="shared" si="10"/>
        <v>lt827_mthd_usd_instrmntmthd_usd_instrmnt_scp_2</v>
      </c>
      <c r="B491" s="142" t="s">
        <v>26</v>
      </c>
      <c r="C491" s="138" t="s">
        <v>26</v>
      </c>
      <c r="D491" s="134" t="s">
        <v>40</v>
      </c>
      <c r="E491" s="137" t="s">
        <v>1966</v>
      </c>
      <c r="F491" s="137" t="s">
        <v>387</v>
      </c>
      <c r="G491" s="136" t="str">
        <f>VLOOKUP(A491,Plano_V3!$A$26:$G$592,7,0)</f>
        <v>6. Em implementação (re-especificação)</v>
      </c>
      <c r="H491" s="136" t="s">
        <v>619</v>
      </c>
      <c r="I491" s="143"/>
      <c r="J491" s="153">
        <f>IF(VLOOKUP(A491,'Aux - pivots1'!$A:$E,3,0)=0, "",VLOOKUP(A491,'Aux - pivots1'!$A:$E,3,0))</f>
        <v>45593</v>
      </c>
      <c r="K491" s="153">
        <f>IF(VLOOKUP(A491,'Aux - pivots1'!$A:$E,4,0)=0, "",VLOOKUP(A491,'Aux - pivots1'!$A:$E,4,0))</f>
        <v>45611</v>
      </c>
      <c r="L491" s="153" t="str">
        <f>IF(VLOOKUP(A491,'Aux - pivots1'!$A:$E,5,0)=0, "",VLOOKUP(A491,'Aux - pivots1'!$A:$E,5,0))</f>
        <v/>
      </c>
      <c r="M491" s="209">
        <v>45593</v>
      </c>
      <c r="N491" s="209"/>
    </row>
    <row r="492" spans="1:14" ht="16.2" x14ac:dyDescent="0.4">
      <c r="A492" s="30" t="str">
        <f t="shared" si="10"/>
        <v>lt827_mthd_usd_instrmntmthd_usd_instrmnt_scp_3</v>
      </c>
      <c r="B492" s="142" t="s">
        <v>26</v>
      </c>
      <c r="C492" s="138" t="s">
        <v>26</v>
      </c>
      <c r="D492" s="134" t="s">
        <v>40</v>
      </c>
      <c r="E492" s="137" t="s">
        <v>1966</v>
      </c>
      <c r="F492" s="137" t="s">
        <v>388</v>
      </c>
      <c r="G492" s="136" t="str">
        <f>VLOOKUP(A492,Plano_V3!$A$26:$G$592,7,0)</f>
        <v>6. Em implementação (re-especificação)</v>
      </c>
      <c r="H492" s="136" t="s">
        <v>619</v>
      </c>
      <c r="I492" s="143"/>
      <c r="J492" s="153">
        <f>IF(VLOOKUP(A492,'Aux - pivots1'!$A:$E,3,0)=0, "",VLOOKUP(A492,'Aux - pivots1'!$A:$E,3,0))</f>
        <v>45593</v>
      </c>
      <c r="K492" s="153">
        <f>IF(VLOOKUP(A492,'Aux - pivots1'!$A:$E,4,0)=0, "",VLOOKUP(A492,'Aux - pivots1'!$A:$E,4,0))</f>
        <v>45611</v>
      </c>
      <c r="L492" s="153" t="str">
        <f>IF(VLOOKUP(A492,'Aux - pivots1'!$A:$E,5,0)=0, "",VLOOKUP(A492,'Aux - pivots1'!$A:$E,5,0))</f>
        <v/>
      </c>
      <c r="M492" s="209">
        <v>45593</v>
      </c>
      <c r="N492" s="209"/>
    </row>
    <row r="493" spans="1:14" ht="16.2" x14ac:dyDescent="0.4">
      <c r="A493" s="30" t="str">
        <f t="shared" si="10"/>
        <v>lt827_mthd_usd_instrmntpurpose_code</v>
      </c>
      <c r="B493" s="142" t="s">
        <v>26</v>
      </c>
      <c r="C493" s="138" t="s">
        <v>26</v>
      </c>
      <c r="D493" s="134" t="s">
        <v>40</v>
      </c>
      <c r="E493" s="137" t="s">
        <v>1966</v>
      </c>
      <c r="F493" s="137" t="s">
        <v>1944</v>
      </c>
      <c r="G493" s="136" t="str">
        <f>VLOOKUP(A493,Plano_V3!$A$26:$G$592,7,0)</f>
        <v>6. Em implementação (re-especificação)</v>
      </c>
      <c r="H493" s="136" t="s">
        <v>619</v>
      </c>
      <c r="I493" s="143"/>
      <c r="J493" s="153" t="str">
        <f>IF(VLOOKUP(A493,'Aux - pivots1'!$A:$E,3,0)=0, "",VLOOKUP(A493,'Aux - pivots1'!$A:$E,3,0))</f>
        <v/>
      </c>
      <c r="K493" s="153">
        <f>IF(VLOOKUP(A493,'Aux - pivots1'!$A:$E,4,0)=0, "",VLOOKUP(A493,'Aux - pivots1'!$A:$E,4,0))</f>
        <v>45611</v>
      </c>
      <c r="L493" s="153" t="str">
        <f>IF(VLOOKUP(A493,'Aux - pivots1'!$A:$E,5,0)=0, "",VLOOKUP(A493,'Aux - pivots1'!$A:$E,5,0))</f>
        <v/>
      </c>
      <c r="M493" s="209"/>
      <c r="N493" s="209"/>
    </row>
    <row r="494" spans="1:14" ht="16.2" x14ac:dyDescent="0.4">
      <c r="A494" s="30" t="str">
        <f t="shared" si="10"/>
        <v>lt827_mthd_usd_instrmntflg_fin</v>
      </c>
      <c r="B494" s="142" t="s">
        <v>26</v>
      </c>
      <c r="C494" s="138" t="s">
        <v>26</v>
      </c>
      <c r="D494" s="134" t="s">
        <v>40</v>
      </c>
      <c r="E494" s="137" t="s">
        <v>1966</v>
      </c>
      <c r="F494" s="137" t="s">
        <v>481</v>
      </c>
      <c r="G494" s="136" t="str">
        <f>VLOOKUP(A494,Plano_V3!$A$26:$G$592,7,0)</f>
        <v>6. Em implementação (re-especificação)</v>
      </c>
      <c r="H494" s="136" t="s">
        <v>619</v>
      </c>
      <c r="I494" s="143"/>
      <c r="J494" s="153" t="str">
        <f>IF(VLOOKUP(A494,'Aux - pivots1'!$A:$E,3,0)=0, "",VLOOKUP(A494,'Aux - pivots1'!$A:$E,3,0))</f>
        <v/>
      </c>
      <c r="K494" s="153">
        <f>IF(VLOOKUP(A494,'Aux - pivots1'!$A:$E,4,0)=0, "",VLOOKUP(A494,'Aux - pivots1'!$A:$E,4,0))</f>
        <v>45611</v>
      </c>
      <c r="L494" s="153" t="str">
        <f>IF(VLOOKUP(A494,'Aux - pivots1'!$A:$E,5,0)=0, "",VLOOKUP(A494,'Aux - pivots1'!$A:$E,5,0))</f>
        <v/>
      </c>
      <c r="M494" s="209"/>
      <c r="N494" s="209"/>
    </row>
    <row r="495" spans="1:14" ht="16.2" x14ac:dyDescent="0.4">
      <c r="A495" s="30" t="str">
        <f t="shared" si="10"/>
        <v>lt827_mthd_usd_instrmntflg_exec</v>
      </c>
      <c r="B495" s="142" t="s">
        <v>26</v>
      </c>
      <c r="C495" s="138" t="s">
        <v>26</v>
      </c>
      <c r="D495" s="134" t="s">
        <v>40</v>
      </c>
      <c r="E495" s="137" t="s">
        <v>1966</v>
      </c>
      <c r="F495" s="137" t="s">
        <v>1364</v>
      </c>
      <c r="G495" s="136" t="str">
        <f>VLOOKUP(A495,Plano_V3!$A$26:$G$592,7,0)</f>
        <v>6. Em implementação (re-especificação)</v>
      </c>
      <c r="H495" s="136" t="s">
        <v>619</v>
      </c>
      <c r="I495" s="143"/>
      <c r="J495" s="153" t="str">
        <f>IF(VLOOKUP(A495,'Aux - pivots1'!$A:$E,3,0)=0, "",VLOOKUP(A495,'Aux - pivots1'!$A:$E,3,0))</f>
        <v/>
      </c>
      <c r="K495" s="153">
        <f>IF(VLOOKUP(A495,'Aux - pivots1'!$A:$E,4,0)=0, "",VLOOKUP(A495,'Aux - pivots1'!$A:$E,4,0))</f>
        <v>45611</v>
      </c>
      <c r="L495" s="153" t="str">
        <f>IF(VLOOKUP(A495,'Aux - pivots1'!$A:$E,5,0)=0, "",VLOOKUP(A495,'Aux - pivots1'!$A:$E,5,0))</f>
        <v/>
      </c>
      <c r="M495" s="209"/>
      <c r="N495" s="209"/>
    </row>
    <row r="496" spans="1:14" ht="16.2" x14ac:dyDescent="0.4">
      <c r="A496" s="30" t="str">
        <f t="shared" si="10"/>
        <v>lt827_mthd_usd_instrmntflg_col</v>
      </c>
      <c r="B496" s="142" t="s">
        <v>26</v>
      </c>
      <c r="C496" s="138" t="s">
        <v>26</v>
      </c>
      <c r="D496" s="134" t="s">
        <v>40</v>
      </c>
      <c r="E496" s="137" t="s">
        <v>1966</v>
      </c>
      <c r="F496" s="137" t="s">
        <v>480</v>
      </c>
      <c r="G496" s="136" t="str">
        <f>VLOOKUP(A496,Plano_V3!$A$26:$G$592,7,0)</f>
        <v>6. Em implementação (re-especificação)</v>
      </c>
      <c r="H496" s="136" t="s">
        <v>619</v>
      </c>
      <c r="I496" s="143"/>
      <c r="J496" s="153" t="str">
        <f>IF(VLOOKUP(A496,'Aux - pivots1'!$A:$E,3,0)=0, "",VLOOKUP(A496,'Aux - pivots1'!$A:$E,3,0))</f>
        <v/>
      </c>
      <c r="K496" s="153">
        <f>IF(VLOOKUP(A496,'Aux - pivots1'!$A:$E,4,0)=0, "",VLOOKUP(A496,'Aux - pivots1'!$A:$E,4,0))</f>
        <v>45611</v>
      </c>
      <c r="L496" s="153" t="str">
        <f>IF(VLOOKUP(A496,'Aux - pivots1'!$A:$E,5,0)=0, "",VLOOKUP(A496,'Aux - pivots1'!$A:$E,5,0))</f>
        <v/>
      </c>
      <c r="M496" s="209"/>
      <c r="N496" s="209"/>
    </row>
    <row r="497" spans="1:14" ht="16.2" x14ac:dyDescent="0.4">
      <c r="A497" s="30" t="str">
        <f t="shared" si="10"/>
        <v>lt827_mthd_usd_instrmntflg_pro</v>
      </c>
      <c r="B497" s="142" t="s">
        <v>26</v>
      </c>
      <c r="C497" s="138" t="s">
        <v>26</v>
      </c>
      <c r="D497" s="134" t="s">
        <v>40</v>
      </c>
      <c r="E497" s="137" t="s">
        <v>1966</v>
      </c>
      <c r="F497" s="137" t="s">
        <v>482</v>
      </c>
      <c r="G497" s="136" t="str">
        <f>VLOOKUP(A497,Plano_V3!$A$26:$G$592,7,0)</f>
        <v>6. Em implementação (re-especificação)</v>
      </c>
      <c r="H497" s="136" t="s">
        <v>619</v>
      </c>
      <c r="I497" s="143"/>
      <c r="J497" s="153" t="str">
        <f>IF(VLOOKUP(A497,'Aux - pivots1'!$A:$E,3,0)=0, "",VLOOKUP(A497,'Aux - pivots1'!$A:$E,3,0))</f>
        <v/>
      </c>
      <c r="K497" s="153">
        <f>IF(VLOOKUP(A497,'Aux - pivots1'!$A:$E,4,0)=0, "",VLOOKUP(A497,'Aux - pivots1'!$A:$E,4,0))</f>
        <v>45611</v>
      </c>
      <c r="L497" s="153" t="str">
        <f>IF(VLOOKUP(A497,'Aux - pivots1'!$A:$E,5,0)=0, "",VLOOKUP(A497,'Aux - pivots1'!$A:$E,5,0))</f>
        <v/>
      </c>
      <c r="M497" s="209"/>
      <c r="N497" s="209"/>
    </row>
    <row r="498" spans="1:14" ht="16.2" customHeight="1" x14ac:dyDescent="0.4">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x14ac:dyDescent="0.4">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x14ac:dyDescent="0.4">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x14ac:dyDescent="0.4">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x14ac:dyDescent="0.4">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x14ac:dyDescent="0.4">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x14ac:dyDescent="0.4">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x14ac:dyDescent="0.4">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x14ac:dyDescent="0.4">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x14ac:dyDescent="0.4">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x14ac:dyDescent="0.4">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x14ac:dyDescent="0.4">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x14ac:dyDescent="0.4">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x14ac:dyDescent="0.4">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x14ac:dyDescent="0.4">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x14ac:dyDescent="0.4">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x14ac:dyDescent="0.4">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x14ac:dyDescent="0.4">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x14ac:dyDescent="0.4">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x14ac:dyDescent="0.4">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x14ac:dyDescent="0.4">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x14ac:dyDescent="0.4">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x14ac:dyDescent="0.4">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x14ac:dyDescent="0.4">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x14ac:dyDescent="0.4">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x14ac:dyDescent="0.4">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x14ac:dyDescent="0.4">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x14ac:dyDescent="0.4">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x14ac:dyDescent="0.4">
      <c r="A526" s="30" t="str">
        <f t="shared" si="10"/>
        <v>lt007_instr_activitysstnbl_indctr</v>
      </c>
      <c r="B526" s="142" t="s">
        <v>26</v>
      </c>
      <c r="C526" s="138" t="s">
        <v>26</v>
      </c>
      <c r="D526" s="134" t="s">
        <v>40</v>
      </c>
      <c r="E526" s="137" t="s">
        <v>1965</v>
      </c>
      <c r="F526" s="137" t="s">
        <v>419</v>
      </c>
      <c r="G526" s="136" t="str">
        <f>VLOOKUP(A526,Plano_V3!$A$26:$G$592,7,0)</f>
        <v>6. Em implementação (re-especificação)</v>
      </c>
      <c r="H526" s="136" t="s">
        <v>619</v>
      </c>
      <c r="I526" s="143" t="s">
        <v>1939</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x14ac:dyDescent="0.4">
      <c r="A527" s="30" t="str">
        <f t="shared" si="10"/>
        <v>lt007_instr_activitysstnbl_ctgry</v>
      </c>
      <c r="B527" s="142" t="s">
        <v>26</v>
      </c>
      <c r="C527" s="138" t="s">
        <v>26</v>
      </c>
      <c r="D527" s="134" t="s">
        <v>40</v>
      </c>
      <c r="E527" s="137" t="s">
        <v>1965</v>
      </c>
      <c r="F527" s="137" t="s">
        <v>420</v>
      </c>
      <c r="G527" s="136" t="str">
        <f>VLOOKUP(A527,Plano_V3!$A$26:$G$592,7,0)</f>
        <v>6. Em implementação (re-especificação)</v>
      </c>
      <c r="H527" s="136" t="s">
        <v>619</v>
      </c>
      <c r="I527" s="143" t="s">
        <v>1939</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x14ac:dyDescent="0.4">
      <c r="A528" s="30" t="str">
        <f t="shared" si="10"/>
        <v>lt002_instrumentgrss_intrst_incm</v>
      </c>
      <c r="B528" s="142" t="s">
        <v>26</v>
      </c>
      <c r="C528" s="138" t="s">
        <v>26</v>
      </c>
      <c r="D528" s="134" t="s">
        <v>40</v>
      </c>
      <c r="E528" s="137" t="s">
        <v>380</v>
      </c>
      <c r="F528" s="137" t="s">
        <v>421</v>
      </c>
      <c r="G528" s="136" t="str">
        <f>VLOOKUP(A528,Plano_V3!$A$26:$G$592,7,0)</f>
        <v>2.1 Em Teste</v>
      </c>
      <c r="H528" s="136" t="s">
        <v>1931</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x14ac:dyDescent="0.4">
      <c r="A529" s="30" t="str">
        <f t="shared" si="10"/>
        <v>lt002_instrumentgrss_cmmssn_incm</v>
      </c>
      <c r="B529" s="142" t="s">
        <v>26</v>
      </c>
      <c r="C529" s="138" t="s">
        <v>26</v>
      </c>
      <c r="D529" s="134" t="s">
        <v>40</v>
      </c>
      <c r="E529" s="137" t="s">
        <v>380</v>
      </c>
      <c r="F529" s="137" t="s">
        <v>422</v>
      </c>
      <c r="G529" s="136" t="str">
        <f>VLOOKUP(A529,Plano_V3!$A$26:$G$592,7,0)</f>
        <v>2.1 Em Teste</v>
      </c>
      <c r="H529" s="136" t="s">
        <v>1931</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customHeight="1" x14ac:dyDescent="0.4">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1931</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customHeight="1" x14ac:dyDescent="0.4">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x14ac:dyDescent="0.4">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x14ac:dyDescent="0.4">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x14ac:dyDescent="0.4">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x14ac:dyDescent="0.4">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x14ac:dyDescent="0.4">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x14ac:dyDescent="0.4">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x14ac:dyDescent="0.4">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x14ac:dyDescent="0.4">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x14ac:dyDescent="0.4">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x14ac:dyDescent="0.4">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x14ac:dyDescent="0.4">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x14ac:dyDescent="0.4">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x14ac:dyDescent="0.4">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f>IF(VLOOKUP(A544,'Aux - pivots1'!$A:$E,4,0)=0, "",VLOOKUP(A544,'Aux - pivots1'!$A:$E,4,0))</f>
        <v>45611</v>
      </c>
      <c r="L544" s="153" t="str">
        <f>IF(VLOOKUP(A544,'Aux - pivots1'!$A:$E,5,0)=0, "",VLOOKUP(A544,'Aux - pivots1'!$A:$E,5,0))</f>
        <v/>
      </c>
      <c r="M544" s="209">
        <v>45588</v>
      </c>
      <c r="N544" s="209"/>
    </row>
    <row r="545" spans="1:14" ht="16.2" customHeight="1" x14ac:dyDescent="0.4">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f>IF(VLOOKUP(A545,'Aux - pivots1'!$A:$E,4,0)=0, "",VLOOKUP(A545,'Aux - pivots1'!$A:$E,4,0))</f>
        <v>45611</v>
      </c>
      <c r="L545" s="153" t="str">
        <f>IF(VLOOKUP(A545,'Aux - pivots1'!$A:$E,5,0)=0, "",VLOOKUP(A545,'Aux - pivots1'!$A:$E,5,0))</f>
        <v/>
      </c>
      <c r="M545" s="209">
        <v>45588</v>
      </c>
      <c r="N545" s="209"/>
    </row>
    <row r="546" spans="1:14" ht="16.2" customHeight="1" x14ac:dyDescent="0.4">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f>IF(VLOOKUP(A546,'Aux - pivots1'!$A:$E,4,0)=0, "",VLOOKUP(A546,'Aux - pivots1'!$A:$E,4,0))</f>
        <v>45611</v>
      </c>
      <c r="L546" s="153" t="str">
        <f>IF(VLOOKUP(A546,'Aux - pivots1'!$A:$E,5,0)=0, "",VLOOKUP(A546,'Aux - pivots1'!$A:$E,5,0))</f>
        <v/>
      </c>
      <c r="M546" s="209">
        <v>45588</v>
      </c>
      <c r="N546" s="209"/>
    </row>
    <row r="547" spans="1:14" ht="16.2" x14ac:dyDescent="0.4">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1941</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2" x14ac:dyDescent="0.4">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f>IF(VLOOKUP(A548,'Aux - pivots1'!$A:$E,4,0)=0, "",VLOOKUP(A548,'Aux - pivots1'!$A:$E,4,0))</f>
        <v>45611</v>
      </c>
      <c r="L548" s="153" t="str">
        <f>IF(VLOOKUP(A548,'Aux - pivots1'!$A:$E,5,0)=0, "",VLOOKUP(A548,'Aux - pivots1'!$A:$E,5,0))</f>
        <v/>
      </c>
      <c r="M548" s="209">
        <v>45595</v>
      </c>
      <c r="N548" s="209"/>
    </row>
    <row r="549" spans="1:14" ht="16.2" customHeight="1" x14ac:dyDescent="0.4">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x14ac:dyDescent="0.4">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x14ac:dyDescent="0.4">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x14ac:dyDescent="0.4">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x14ac:dyDescent="0.4">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x14ac:dyDescent="0.4">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x14ac:dyDescent="0.4">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x14ac:dyDescent="0.4">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x14ac:dyDescent="0.4">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x14ac:dyDescent="0.4">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x14ac:dyDescent="0.4">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x14ac:dyDescent="0.4">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x14ac:dyDescent="0.4">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1943</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x14ac:dyDescent="0.4">
      <c r="A562" s="30" t="str">
        <f t="shared" si="11"/>
        <v>lt004_protectionflg_exec</v>
      </c>
      <c r="B562" s="142" t="s">
        <v>26</v>
      </c>
      <c r="C562" s="138" t="s">
        <v>26</v>
      </c>
      <c r="D562" s="134" t="s">
        <v>40</v>
      </c>
      <c r="E562" s="137" t="s">
        <v>369</v>
      </c>
      <c r="F562" s="137" t="s">
        <v>1364</v>
      </c>
      <c r="G562" s="136" t="str">
        <f>VLOOKUP(A562,Plano_V3!$A$26:$G$592,7,0)</f>
        <v>6. Em implementação (re-especificação)</v>
      </c>
      <c r="H562" s="136" t="s">
        <v>619</v>
      </c>
      <c r="I562" s="143" t="s">
        <v>1943</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x14ac:dyDescent="0.4">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1943</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x14ac:dyDescent="0.4">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1943</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customHeight="1" x14ac:dyDescent="0.4">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x14ac:dyDescent="0.4">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x14ac:dyDescent="0.4">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x14ac:dyDescent="0.4">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customHeight="1" x14ac:dyDescent="0.4">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customHeight="1" x14ac:dyDescent="0.4">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customHeight="1" x14ac:dyDescent="0.4">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customHeight="1" x14ac:dyDescent="0.4">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customHeight="1" x14ac:dyDescent="0.4">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customHeight="1" x14ac:dyDescent="0.4">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x14ac:dyDescent="0.45">
      <c r="AK1" s="118"/>
    </row>
    <row r="2" spans="1:150" s="26" customFormat="1" x14ac:dyDescent="0.45"/>
    <row r="3" spans="1:150" s="26" customFormat="1" x14ac:dyDescent="0.45"/>
    <row r="4" spans="1:15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45">
      <c r="M5" s="26"/>
      <c r="N5" s="26"/>
      <c r="O5" s="26"/>
      <c r="R5" s="91"/>
    </row>
    <row r="6" spans="1:150" hidden="1" x14ac:dyDescent="0.45">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45">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45">
      <c r="M8" s="26"/>
      <c r="N8" s="26"/>
      <c r="O8" s="26"/>
    </row>
    <row r="9" spans="1:150" hidden="1" x14ac:dyDescent="0.45">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45">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45">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25">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x14ac:dyDescent="0.25">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25">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25">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25">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x14ac:dyDescent="0.45">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25">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25">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25">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x14ac:dyDescent="0.25">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1946</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x14ac:dyDescent="0.45">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25">
      <c r="B24" s="83" t="s">
        <v>33</v>
      </c>
      <c r="C24" s="84"/>
      <c r="D24" s="84"/>
      <c r="E24" s="84"/>
      <c r="F24" s="84"/>
      <c r="G24" s="84"/>
      <c r="H24" s="84"/>
      <c r="I24" s="186">
        <f>I25+I40+I204+I371+I456</f>
        <v>2209.0150000000053</v>
      </c>
      <c r="J24" s="186">
        <f>J25+J40+J204+J371+J456</f>
        <v>279</v>
      </c>
      <c r="K24" s="186">
        <f>K25+K40+K204+K371+K456</f>
        <v>1336.2443750000007</v>
      </c>
      <c r="L24" s="186">
        <f>L25+L40+L204+L371+L456</f>
        <v>169</v>
      </c>
      <c r="M24" s="181">
        <f>((M25*J25)+(M40*J40)+(M204*J204)+(M371*J371)+(M456*J456))/J24</f>
        <v>0.57885304659498205</v>
      </c>
      <c r="N24" s="181">
        <f>((N25*L25)+(N40*L40)+(N204*L204)+(N371*L371)+(N456*L456))/L24</f>
        <v>0.6874971516777536</v>
      </c>
      <c r="O24" s="181">
        <f t="shared" ref="O24:O87" si="15">N24-M24</f>
        <v>0.10864410508277156</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4">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x14ac:dyDescent="0.25">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x14ac:dyDescent="0.25">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x14ac:dyDescent="0.25">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x14ac:dyDescent="0.25">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x14ac:dyDescent="0.25">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x14ac:dyDescent="0.25">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x14ac:dyDescent="0.25">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x14ac:dyDescent="0.25">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x14ac:dyDescent="0.25">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x14ac:dyDescent="0.25">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x14ac:dyDescent="0.25">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x14ac:dyDescent="0.25">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x14ac:dyDescent="0.25">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x14ac:dyDescent="0.25">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x14ac:dyDescent="0.25">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1945</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x14ac:dyDescent="0.25">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x14ac:dyDescent="0.25">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x14ac:dyDescent="0.25">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x14ac:dyDescent="0.25">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x14ac:dyDescent="0.25">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x14ac:dyDescent="0.25">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x14ac:dyDescent="0.25">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x14ac:dyDescent="0.25">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x14ac:dyDescent="0.25">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x14ac:dyDescent="0.25">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x14ac:dyDescent="0.25">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x14ac:dyDescent="0.25">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x14ac:dyDescent="0.25">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x14ac:dyDescent="0.25">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x14ac:dyDescent="0.25">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x14ac:dyDescent="0.25">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x14ac:dyDescent="0.25">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x14ac:dyDescent="0.25">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x14ac:dyDescent="0.25">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x14ac:dyDescent="0.25">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x14ac:dyDescent="0.25">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x14ac:dyDescent="0.25">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x14ac:dyDescent="0.25">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x14ac:dyDescent="0.25">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x14ac:dyDescent="0.25">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x14ac:dyDescent="0.25">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x14ac:dyDescent="0.25">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x14ac:dyDescent="0.25">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x14ac:dyDescent="0.25">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x14ac:dyDescent="0.25">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x14ac:dyDescent="0.25">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x14ac:dyDescent="0.25">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x14ac:dyDescent="0.25">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x14ac:dyDescent="0.25">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x14ac:dyDescent="0.25">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x14ac:dyDescent="0.25">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x14ac:dyDescent="0.25">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x14ac:dyDescent="0.25">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x14ac:dyDescent="0.25">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x14ac:dyDescent="0.25">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x14ac:dyDescent="0.25">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x14ac:dyDescent="0.25">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x14ac:dyDescent="0.25">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x14ac:dyDescent="0.25">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x14ac:dyDescent="0.25">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x14ac:dyDescent="0.25">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x14ac:dyDescent="0.25">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x14ac:dyDescent="0.25">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x14ac:dyDescent="0.25">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x14ac:dyDescent="0.25">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x14ac:dyDescent="0.25">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x14ac:dyDescent="0.25">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x14ac:dyDescent="0.25">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x14ac:dyDescent="0.25">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x14ac:dyDescent="0.25">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x14ac:dyDescent="0.4">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x14ac:dyDescent="0.4">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x14ac:dyDescent="0.4">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x14ac:dyDescent="0.4">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x14ac:dyDescent="0.4">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x14ac:dyDescent="0.4">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x14ac:dyDescent="0.4">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x14ac:dyDescent="0.4">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x14ac:dyDescent="0.4">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x14ac:dyDescent="0.4">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x14ac:dyDescent="0.4">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x14ac:dyDescent="0.4">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x14ac:dyDescent="0.4">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x14ac:dyDescent="0.4">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x14ac:dyDescent="0.4">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x14ac:dyDescent="0.4">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x14ac:dyDescent="0.4">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x14ac:dyDescent="0.4">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x14ac:dyDescent="0.4">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x14ac:dyDescent="0.4">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x14ac:dyDescent="0.4">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x14ac:dyDescent="0.4">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x14ac:dyDescent="0.4">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x14ac:dyDescent="0.4">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x14ac:dyDescent="0.4">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x14ac:dyDescent="0.4">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x14ac:dyDescent="0.4">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x14ac:dyDescent="0.4">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x14ac:dyDescent="0.4">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x14ac:dyDescent="0.4">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x14ac:dyDescent="0.4">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x14ac:dyDescent="0.4">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x14ac:dyDescent="0.4">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x14ac:dyDescent="0.4">
      <c r="A129" s="30" t="str">
        <f t="shared" si="25"/>
        <v>PROPERTYCGARANT_BEM</v>
      </c>
      <c r="B129" s="68"/>
      <c r="C129" s="69"/>
      <c r="D129" s="65" t="s">
        <v>40</v>
      </c>
      <c r="E129" s="67" t="s">
        <v>94</v>
      </c>
      <c r="F129" s="67" t="s">
        <v>1947</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x14ac:dyDescent="0.4">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x14ac:dyDescent="0.4">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x14ac:dyDescent="0.4">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x14ac:dyDescent="0.4">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x14ac:dyDescent="0.4">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x14ac:dyDescent="0.4">
      <c r="A135" s="30" t="str">
        <f t="shared" si="25"/>
        <v>PROPERTY_ENERGY_CERTIFICATELAND_REGISTRY_OFFICE_CODE</v>
      </c>
      <c r="B135" s="68" t="s">
        <v>26</v>
      </c>
      <c r="C135" s="69" t="s">
        <v>54</v>
      </c>
      <c r="D135" s="65" t="s">
        <v>40</v>
      </c>
      <c r="E135" s="67" t="s">
        <v>123</v>
      </c>
      <c r="F135" s="67" t="s">
        <v>125</v>
      </c>
      <c r="G135" s="65" t="str">
        <f>INDEX(Auxiliar!$B$16:$B$24,MATCH(Plano_V3!H135,Auxiliar!$C$16:$C$24,0),1)</f>
        <v>4. Validação EF</v>
      </c>
      <c r="H135" s="65">
        <f>VLOOKUP(A135,'Aux - pivots1'!$A:$B,2,0)</f>
        <v>5</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x14ac:dyDescent="0.4">
      <c r="A136" s="30" t="str">
        <f t="shared" si="25"/>
        <v>PROPERTY_ENERGY_CERTIFICATEPROPERTY_IDENTIFICATION_CODE</v>
      </c>
      <c r="B136" s="68" t="s">
        <v>26</v>
      </c>
      <c r="C136" s="69" t="s">
        <v>54</v>
      </c>
      <c r="D136" s="65" t="s">
        <v>40</v>
      </c>
      <c r="E136" s="67" t="s">
        <v>123</v>
      </c>
      <c r="F136" s="67" t="s">
        <v>126</v>
      </c>
      <c r="G136" s="65" t="str">
        <f>INDEX(Auxiliar!$B$16:$B$24,MATCH(Plano_V3!H136,Auxiliar!$C$16:$C$24,0),1)</f>
        <v>4. Validação EF</v>
      </c>
      <c r="H136" s="65">
        <f>VLOOKUP(A136,'Aux - pivots1'!$A:$B,2,0)</f>
        <v>5</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x14ac:dyDescent="0.4">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4. Validação EF</v>
      </c>
      <c r="H137" s="65">
        <f>VLOOKUP(A137,'Aux - pivots1'!$A:$B,2,0)</f>
        <v>5</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x14ac:dyDescent="0.4">
      <c r="A138" s="30" t="str">
        <f t="shared" si="25"/>
        <v>PROPERTY_ENERGY_CERTIFICATEEPC_ISSUING_DATE</v>
      </c>
      <c r="B138" s="68" t="s">
        <v>26</v>
      </c>
      <c r="C138" s="69" t="s">
        <v>54</v>
      </c>
      <c r="D138" s="65" t="s">
        <v>40</v>
      </c>
      <c r="E138" s="67" t="s">
        <v>123</v>
      </c>
      <c r="F138" s="67" t="s">
        <v>128</v>
      </c>
      <c r="G138" s="65" t="str">
        <f>INDEX(Auxiliar!$B$16:$B$24,MATCH(Plano_V3!H138,Auxiliar!$C$16:$C$24,0),1)</f>
        <v>4. Validação EF</v>
      </c>
      <c r="H138" s="65">
        <f>VLOOKUP(A138,'Aux - pivots1'!$A:$B,2,0)</f>
        <v>5</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x14ac:dyDescent="0.4">
      <c r="A139" s="30" t="str">
        <f t="shared" si="25"/>
        <v>PROPERTY_ENERGY_CERTIFICATEEPC_EXPIRATION_DATE</v>
      </c>
      <c r="B139" s="68" t="s">
        <v>26</v>
      </c>
      <c r="C139" s="69" t="s">
        <v>54</v>
      </c>
      <c r="D139" s="65" t="s">
        <v>40</v>
      </c>
      <c r="E139" s="67" t="s">
        <v>123</v>
      </c>
      <c r="F139" s="67" t="s">
        <v>129</v>
      </c>
      <c r="G139" s="65" t="str">
        <f>INDEX(Auxiliar!$B$16:$B$24,MATCH(Plano_V3!H139,Auxiliar!$C$16:$C$24,0),1)</f>
        <v>4. Validação EF</v>
      </c>
      <c r="H139" s="65">
        <f>VLOOKUP(A139,'Aux - pivots1'!$A:$B,2,0)</f>
        <v>5</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x14ac:dyDescent="0.4">
      <c r="A140" s="30" t="str">
        <f t="shared" si="25"/>
        <v>PROPERTY_ENERGY_CERTIFICATEEPC</v>
      </c>
      <c r="B140" s="68" t="s">
        <v>26</v>
      </c>
      <c r="C140" s="69" t="s">
        <v>54</v>
      </c>
      <c r="D140" s="65" t="s">
        <v>40</v>
      </c>
      <c r="E140" s="67" t="s">
        <v>123</v>
      </c>
      <c r="F140" s="67" t="s">
        <v>47</v>
      </c>
      <c r="G140" s="65" t="str">
        <f>INDEX(Auxiliar!$B$16:$B$24,MATCH(Plano_V3!H140,Auxiliar!$C$16:$C$24,0),1)</f>
        <v>4. Validação EF</v>
      </c>
      <c r="H140" s="65">
        <f>VLOOKUP(A140,'Aux - pivots1'!$A:$B,2,0)</f>
        <v>5</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x14ac:dyDescent="0.4">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x14ac:dyDescent="0.4">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x14ac:dyDescent="0.4">
      <c r="A143" s="30" t="str">
        <f t="shared" si="25"/>
        <v>PROPERTY_ENERGY_CERTIFICATEENERGY_EFFICIENCY_IND</v>
      </c>
      <c r="B143" s="68" t="s">
        <v>26</v>
      </c>
      <c r="C143" s="69" t="s">
        <v>54</v>
      </c>
      <c r="D143" s="65" t="s">
        <v>40</v>
      </c>
      <c r="E143" s="67" t="s">
        <v>123</v>
      </c>
      <c r="F143" s="67" t="s">
        <v>132</v>
      </c>
      <c r="G143" s="65" t="str">
        <f>INDEX(Auxiliar!$B$16:$B$24,MATCH(Plano_V3!H143,Auxiliar!$C$16:$C$24,0),1)</f>
        <v>4. Validação EF</v>
      </c>
      <c r="H143" s="65">
        <f>VLOOKUP(A143,'Aux - pivots1'!$A:$B,2,0)</f>
        <v>5</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x14ac:dyDescent="0.4">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x14ac:dyDescent="0.4">
      <c r="A145" s="30" t="str">
        <f t="shared" si="25"/>
        <v>PROPERTY_ENERGY_CERTIFICATENZEB_IND</v>
      </c>
      <c r="B145" s="68" t="s">
        <v>26</v>
      </c>
      <c r="C145" s="69" t="s">
        <v>54</v>
      </c>
      <c r="D145" s="65" t="s">
        <v>40</v>
      </c>
      <c r="E145" s="67" t="s">
        <v>123</v>
      </c>
      <c r="F145" s="67" t="s">
        <v>134</v>
      </c>
      <c r="G145" s="65" t="str">
        <f>INDEX(Auxiliar!$B$16:$B$24,MATCH(Plano_V3!H145,Auxiliar!$C$16:$C$24,0),1)</f>
        <v>4. Validação EF</v>
      </c>
      <c r="H145" s="65">
        <f>VLOOKUP(A145,'Aux - pivots1'!$A:$B,2,0)</f>
        <v>5</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x14ac:dyDescent="0.4">
      <c r="A146" s="30" t="str">
        <f t="shared" si="25"/>
        <v>PROPERTY_ENERGY_CERTIFICATEACTUAL_VALUE_IND</v>
      </c>
      <c r="B146" s="68" t="s">
        <v>26</v>
      </c>
      <c r="C146" s="69" t="s">
        <v>54</v>
      </c>
      <c r="D146" s="65" t="s">
        <v>40</v>
      </c>
      <c r="E146" s="67" t="s">
        <v>123</v>
      </c>
      <c r="F146" s="67" t="s">
        <v>49</v>
      </c>
      <c r="G146" s="65" t="str">
        <f>INDEX(Auxiliar!$B$16:$B$24,MATCH(Plano_V3!H146,Auxiliar!$C$16:$C$24,0),1)</f>
        <v>4. Validação EF</v>
      </c>
      <c r="H146" s="65">
        <f>VLOOKUP(A146,'Aux - pivots1'!$A:$B,2,0)</f>
        <v>5</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x14ac:dyDescent="0.4">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x14ac:dyDescent="0.4">
      <c r="A148" s="30" t="str">
        <f t="shared" si="25"/>
        <v>PROPERTY_ENERGY_CERTIFICATESOURCE_CODE</v>
      </c>
      <c r="B148" s="68" t="s">
        <v>26</v>
      </c>
      <c r="C148" s="69" t="s">
        <v>54</v>
      </c>
      <c r="D148" s="65" t="s">
        <v>40</v>
      </c>
      <c r="E148" s="67" t="s">
        <v>123</v>
      </c>
      <c r="F148" s="67" t="s">
        <v>87</v>
      </c>
      <c r="G148" s="65" t="str">
        <f>INDEX(Auxiliar!$B$16:$B$24,MATCH(Plano_V3!H148,Auxiliar!$C$16:$C$24,0),1)</f>
        <v>4. Validação EF</v>
      </c>
      <c r="H148" s="65">
        <f>VLOOKUP(A148,'Aux - pivots1'!$A:$B,2,0)</f>
        <v>5</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x14ac:dyDescent="0.4">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x14ac:dyDescent="0.4">
      <c r="A150" s="30" t="str">
        <f t="shared" si="25"/>
        <v>PROPERTY_ENERGY_CERTIFICATECERTIFICATE_TYPE</v>
      </c>
      <c r="B150" s="68" t="s">
        <v>26</v>
      </c>
      <c r="C150" s="69" t="s">
        <v>54</v>
      </c>
      <c r="D150" s="65" t="s">
        <v>40</v>
      </c>
      <c r="E150" s="67" t="s">
        <v>123</v>
      </c>
      <c r="F150" s="67" t="s">
        <v>136</v>
      </c>
      <c r="G150" s="65" t="str">
        <f>INDEX(Auxiliar!$B$16:$B$24,MATCH(Plano_V3!H150,Auxiliar!$C$16:$C$24,0),1)</f>
        <v>4. Validação EF</v>
      </c>
      <c r="H150" s="65">
        <f>VLOOKUP(A150,'Aux - pivots1'!$A:$B,2,0)</f>
        <v>5</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x14ac:dyDescent="0.4">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x14ac:dyDescent="0.4">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x14ac:dyDescent="0.4">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x14ac:dyDescent="0.4">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x14ac:dyDescent="0.4">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x14ac:dyDescent="0.4">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x14ac:dyDescent="0.4">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x14ac:dyDescent="0.4">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x14ac:dyDescent="0.4">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x14ac:dyDescent="0.4">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x14ac:dyDescent="0.4">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x14ac:dyDescent="0.4">
      <c r="A162" s="30" t="str">
        <f t="shared" si="33"/>
        <v>PROPERTY_ENERGY_CERTIFICATEENERGY_CONSUMPTION_VALUE_YEAR</v>
      </c>
      <c r="B162" s="68" t="s">
        <v>26</v>
      </c>
      <c r="C162" s="69" t="s">
        <v>54</v>
      </c>
      <c r="D162" s="65" t="s">
        <v>40</v>
      </c>
      <c r="E162" s="67" t="s">
        <v>123</v>
      </c>
      <c r="F162" s="67" t="s">
        <v>51</v>
      </c>
      <c r="G162" s="65" t="str">
        <f>INDEX(Auxiliar!$B$16:$B$24,MATCH(Plano_V3!H162,Auxiliar!$C$16:$C$24,0),1)</f>
        <v>4. Validação EF</v>
      </c>
      <c r="H162" s="65">
        <f>VLOOKUP(A162,'Aux - pivots1'!$A:$B,2,0)</f>
        <v>5</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x14ac:dyDescent="0.4">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x14ac:dyDescent="0.4">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x14ac:dyDescent="0.4">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x14ac:dyDescent="0.4">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x14ac:dyDescent="0.4">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x14ac:dyDescent="0.4">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x14ac:dyDescent="0.4">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x14ac:dyDescent="0.4">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x14ac:dyDescent="0.4">
      <c r="A171" s="30" t="str">
        <f t="shared" si="33"/>
        <v>PROPERTY_ENERGY_CERTIFICATECARBON_EMISSION_VALUE_YEAR</v>
      </c>
      <c r="B171" s="68" t="s">
        <v>26</v>
      </c>
      <c r="C171" s="69" t="s">
        <v>54</v>
      </c>
      <c r="D171" s="65" t="s">
        <v>40</v>
      </c>
      <c r="E171" s="67" t="s">
        <v>123</v>
      </c>
      <c r="F171" s="67" t="s">
        <v>52</v>
      </c>
      <c r="G171" s="65" t="str">
        <f>INDEX(Auxiliar!$B$16:$B$24,MATCH(Plano_V3!H171,Auxiliar!$C$16:$C$24,0),1)</f>
        <v>4. Validação EF</v>
      </c>
      <c r="H171" s="65">
        <f>VLOOKUP(A171,'Aux - pivots1'!$A:$B,2,0)</f>
        <v>5</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x14ac:dyDescent="0.4">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x14ac:dyDescent="0.4">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x14ac:dyDescent="0.4">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x14ac:dyDescent="0.4">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x14ac:dyDescent="0.4">
      <c r="A176" s="30" t="str">
        <f t="shared" si="33"/>
        <v>PROPERTY_ENERGY_CERTIFICATEREN_ENERGY_PRODUCED_VALUE</v>
      </c>
      <c r="B176" s="68" t="s">
        <v>26</v>
      </c>
      <c r="C176" s="69" t="s">
        <v>54</v>
      </c>
      <c r="D176" s="65" t="s">
        <v>40</v>
      </c>
      <c r="E176" s="67" t="s">
        <v>123</v>
      </c>
      <c r="F176" s="67" t="s">
        <v>160</v>
      </c>
      <c r="G176" s="65" t="str">
        <f>INDEX(Auxiliar!$B$16:$B$24,MATCH(Plano_V3!H176,Auxiliar!$C$16:$C$24,0),1)</f>
        <v>4. Validação EF</v>
      </c>
      <c r="H176" s="65">
        <f>VLOOKUP(A176,'Aux - pivots1'!$A:$B,2,0)</f>
        <v>5</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x14ac:dyDescent="0.4">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x14ac:dyDescent="0.4">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x14ac:dyDescent="0.4">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x14ac:dyDescent="0.4">
      <c r="A180" s="30" t="str">
        <f t="shared" si="33"/>
        <v>PROPERTY_ENERGY_CERTIFICATEPRIMARY_ENERGY_REQ_VALUE</v>
      </c>
      <c r="B180" s="68" t="s">
        <v>26</v>
      </c>
      <c r="C180" s="69" t="s">
        <v>54</v>
      </c>
      <c r="D180" s="65" t="s">
        <v>40</v>
      </c>
      <c r="E180" s="67" t="s">
        <v>123</v>
      </c>
      <c r="F180" s="67" t="s">
        <v>164</v>
      </c>
      <c r="G180" s="65" t="str">
        <f>INDEX(Auxiliar!$B$16:$B$24,MATCH(Plano_V3!H180,Auxiliar!$C$16:$C$24,0),1)</f>
        <v>4. Validação EF</v>
      </c>
      <c r="H180" s="65">
        <f>VLOOKUP(A180,'Aux - pivots1'!$A:$B,2,0)</f>
        <v>5</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x14ac:dyDescent="0.4">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x14ac:dyDescent="0.4">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x14ac:dyDescent="0.4">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x14ac:dyDescent="0.4">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x14ac:dyDescent="0.4">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x14ac:dyDescent="0.4">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x14ac:dyDescent="0.4">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x14ac:dyDescent="0.4">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x14ac:dyDescent="0.4">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x14ac:dyDescent="0.4">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x14ac:dyDescent="0.4">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x14ac:dyDescent="0.4">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x14ac:dyDescent="0.4">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x14ac:dyDescent="0.4">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x14ac:dyDescent="0.4">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4. Validação EF</v>
      </c>
      <c r="H195" s="65">
        <f>VLOOKUP(A195,'Aux - pivots1'!$A:$B,2,0)</f>
        <v>5</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x14ac:dyDescent="0.4">
      <c r="A196" s="30" t="str">
        <f t="shared" si="37"/>
        <v>PROPERTY_ENERGY_CERTIFICATECADASTRAL_REGISTER_CODE</v>
      </c>
      <c r="B196" s="68" t="s">
        <v>26</v>
      </c>
      <c r="C196" s="69" t="s">
        <v>54</v>
      </c>
      <c r="D196" s="65" t="s">
        <v>40</v>
      </c>
      <c r="E196" s="67" t="s">
        <v>123</v>
      </c>
      <c r="F196" s="67" t="s">
        <v>98</v>
      </c>
      <c r="G196" s="65" t="str">
        <f>INDEX(Auxiliar!$B$16:$B$24,MATCH(Plano_V3!H196,Auxiliar!$C$16:$C$24,0),1)</f>
        <v>4. Validação EF</v>
      </c>
      <c r="H196" s="65">
        <f>VLOOKUP(A196,'Aux - pivots1'!$A:$B,2,0)</f>
        <v>5</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x14ac:dyDescent="0.4">
      <c r="A197" s="30" t="str">
        <f t="shared" si="37"/>
        <v>PROPERTY_ENERGY_CERTIFICATEDISTRICT_MUNICIP_PARISH_CODE</v>
      </c>
      <c r="B197" s="68" t="s">
        <v>26</v>
      </c>
      <c r="C197" s="69" t="s">
        <v>54</v>
      </c>
      <c r="D197" s="65" t="s">
        <v>40</v>
      </c>
      <c r="E197" s="67" t="s">
        <v>123</v>
      </c>
      <c r="F197" s="67" t="s">
        <v>101</v>
      </c>
      <c r="G197" s="65" t="str">
        <f>INDEX(Auxiliar!$B$16:$B$24,MATCH(Plano_V3!H197,Auxiliar!$C$16:$C$24,0),1)</f>
        <v>4. Validação EF</v>
      </c>
      <c r="H197" s="65">
        <f>VLOOKUP(A197,'Aux - pivots1'!$A:$B,2,0)</f>
        <v>5</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x14ac:dyDescent="0.4">
      <c r="A198" s="30" t="str">
        <f t="shared" si="37"/>
        <v>PROPERTY_ENERGY_CERTIFICATEPROPERTY_PURPOSE_CODE</v>
      </c>
      <c r="B198" s="68" t="s">
        <v>26</v>
      </c>
      <c r="C198" s="69" t="s">
        <v>54</v>
      </c>
      <c r="D198" s="65" t="s">
        <v>40</v>
      </c>
      <c r="E198" s="67" t="s">
        <v>123</v>
      </c>
      <c r="F198" s="67" t="s">
        <v>102</v>
      </c>
      <c r="G198" s="65" t="str">
        <f>INDEX(Auxiliar!$B$16:$B$24,MATCH(Plano_V3!H198,Auxiliar!$C$16:$C$24,0),1)</f>
        <v>4. Validação EF</v>
      </c>
      <c r="H198" s="65">
        <f>VLOOKUP(A198,'Aux - pivots1'!$A:$B,2,0)</f>
        <v>5</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x14ac:dyDescent="0.4">
      <c r="A199" s="30" t="str">
        <f t="shared" si="37"/>
        <v>PROPERTY_ENERGY_CERTIFICATEADDRESS_CODE</v>
      </c>
      <c r="B199" s="68" t="s">
        <v>26</v>
      </c>
      <c r="C199" s="69" t="s">
        <v>54</v>
      </c>
      <c r="D199" s="65" t="s">
        <v>40</v>
      </c>
      <c r="E199" s="67" t="s">
        <v>123</v>
      </c>
      <c r="F199" s="67" t="s">
        <v>104</v>
      </c>
      <c r="G199" s="65" t="str">
        <f>INDEX(Auxiliar!$B$16:$B$24,MATCH(Plano_V3!H199,Auxiliar!$C$16:$C$24,0),1)</f>
        <v>4. Validação EF</v>
      </c>
      <c r="H199" s="65">
        <f>VLOOKUP(A199,'Aux - pivots1'!$A:$B,2,0)</f>
        <v>5</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x14ac:dyDescent="0.4">
      <c r="A200" s="30" t="str">
        <f t="shared" si="37"/>
        <v>PROPERTY_ENERGY_CERTIFICATEFLOOR_NUMBER</v>
      </c>
      <c r="B200" s="68" t="s">
        <v>26</v>
      </c>
      <c r="C200" s="69" t="s">
        <v>54</v>
      </c>
      <c r="D200" s="65" t="s">
        <v>40</v>
      </c>
      <c r="E200" s="67" t="s">
        <v>123</v>
      </c>
      <c r="F200" s="67" t="s">
        <v>111</v>
      </c>
      <c r="G200" s="65" t="str">
        <f>INDEX(Auxiliar!$B$16:$B$24,MATCH(Plano_V3!H200,Auxiliar!$C$16:$C$24,0),1)</f>
        <v>4. Validação EF</v>
      </c>
      <c r="H200" s="65">
        <f>VLOOKUP(A200,'Aux - pivots1'!$A:$B,2,0)</f>
        <v>5</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x14ac:dyDescent="0.4">
      <c r="A201" s="30" t="str">
        <f t="shared" si="37"/>
        <v>PROPERTY_ENERGY_CERTIFICATELOCALITY</v>
      </c>
      <c r="B201" s="68" t="s">
        <v>26</v>
      </c>
      <c r="C201" s="69" t="s">
        <v>54</v>
      </c>
      <c r="D201" s="65" t="s">
        <v>40</v>
      </c>
      <c r="E201" s="67" t="s">
        <v>123</v>
      </c>
      <c r="F201" s="67" t="s">
        <v>112</v>
      </c>
      <c r="G201" s="65" t="str">
        <f>INDEX(Auxiliar!$B$16:$B$24,MATCH(Plano_V3!H201,Auxiliar!$C$16:$C$24,0),1)</f>
        <v>4. Validação EF</v>
      </c>
      <c r="H201" s="65">
        <f>VLOOKUP(A201,'Aux - pivots1'!$A:$B,2,0)</f>
        <v>5</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x14ac:dyDescent="0.4">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x14ac:dyDescent="0.4">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x14ac:dyDescent="0.4">
      <c r="A204" s="30" t="str">
        <f t="shared" si="33"/>
        <v/>
      </c>
      <c r="B204" s="64" t="s">
        <v>26</v>
      </c>
      <c r="C204" s="97" t="s">
        <v>181</v>
      </c>
      <c r="D204" s="97"/>
      <c r="E204" s="104"/>
      <c r="F204" s="97"/>
      <c r="G204" s="97"/>
      <c r="H204" s="97"/>
      <c r="I204" s="189">
        <f>SUM(I205:I370)</f>
        <v>181.0999999999996</v>
      </c>
      <c r="J204" s="189">
        <f>ROUNDUP(I204/8,0)</f>
        <v>23</v>
      </c>
      <c r="K204" s="189">
        <f>SUM(K205:K370)</f>
        <v>154.34999999999957</v>
      </c>
      <c r="L204" s="189">
        <f>ROUNDUP(K204/8,0)</f>
        <v>20</v>
      </c>
      <c r="M204" s="188">
        <f>SUMIFS(R204:ES204,$R$9:$ES$9,"S")/J204</f>
        <v>1</v>
      </c>
      <c r="N204" s="188">
        <f>IFERROR(L204/J204,0)</f>
        <v>0.86956521739130432</v>
      </c>
      <c r="O204" s="188">
        <f t="shared" si="31"/>
        <v>-0.13043478260869568</v>
      </c>
      <c r="P204" s="195" t="s">
        <v>1940</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x14ac:dyDescent="0.25">
      <c r="A205" s="30" t="str">
        <f t="shared" si="33"/>
        <v>modesg_param_sfcs_taxon_europeian.a.</v>
      </c>
      <c r="B205" s="68" t="s">
        <v>26</v>
      </c>
      <c r="C205" s="69" t="s">
        <v>181</v>
      </c>
      <c r="D205" s="65" t="s">
        <v>36</v>
      </c>
      <c r="E205" s="67" t="s">
        <v>182</v>
      </c>
      <c r="F205" s="65" t="s">
        <v>38</v>
      </c>
      <c r="G205" s="65" t="str">
        <f>INDEX(Auxiliar!$B$16:$B$24,MATCH(Plano_V3!H205,Auxiliar!$C$16:$C$24,0),1)</f>
        <v>2.1 Em Teste</v>
      </c>
      <c r="H205" s="65">
        <f>VLOOKUP(A205,'Aux - pivots1'!$A:$B,2,0)</f>
        <v>2</v>
      </c>
      <c r="I205" s="190">
        <f>SUMIFS(Table1[Estimação (horas)],Table1[Tabela],Plano_V3!E205,Table1[Campo],Plano_V3!F205)</f>
        <v>8.5</v>
      </c>
      <c r="J205" s="190">
        <f t="shared" ref="J205:J270" si="42">I205/8</f>
        <v>1.0625</v>
      </c>
      <c r="K205" s="190">
        <f>SUMIFS(Table1[Horas efetivas],Table1[Tabela],Plano_V3!E205,Table1[Campo],Plano_V3!F205)</f>
        <v>4.25</v>
      </c>
      <c r="L205" s="190">
        <f>K205/8</f>
        <v>0.53125</v>
      </c>
      <c r="M205" s="184"/>
      <c r="N205" s="184">
        <f>L205/J205</f>
        <v>0.5</v>
      </c>
      <c r="O205" s="184">
        <f t="shared" si="31"/>
        <v>0.5</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x14ac:dyDescent="0.25">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x14ac:dyDescent="0.25">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x14ac:dyDescent="0.25">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x14ac:dyDescent="0.25">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x14ac:dyDescent="0.25">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x14ac:dyDescent="0.25">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x14ac:dyDescent="0.25">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x14ac:dyDescent="0.25">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x14ac:dyDescent="0.25">
      <c r="A214" s="30" t="str">
        <f t="shared" si="33"/>
        <v>modesg_param_sfcs_taxon_europeiacod_regra</v>
      </c>
      <c r="B214" s="68" t="s">
        <v>26</v>
      </c>
      <c r="C214" s="69" t="s">
        <v>181</v>
      </c>
      <c r="D214" s="65" t="s">
        <v>40</v>
      </c>
      <c r="E214" s="67" t="s">
        <v>182</v>
      </c>
      <c r="F214" s="65" t="s">
        <v>191</v>
      </c>
      <c r="G214" s="65" t="str">
        <f>INDEX(Auxiliar!$B$16:$B$24,MATCH(Plano_V3!H214,Auxiliar!$C$16:$C$24,0),1)</f>
        <v>2.1 Em Teste</v>
      </c>
      <c r="H214" s="65">
        <f>VLOOKUP(A214,'Aux - pivots1'!$A:$B,2,0)</f>
        <v>2</v>
      </c>
      <c r="I214" s="190">
        <f>SUMIFS(Table1[Estimação (horas)],Table1[Tabela],Plano_V3!E214,Table1[Campo],Plano_V3!F214)</f>
        <v>0.6</v>
      </c>
      <c r="J214" s="190">
        <f t="shared" si="42"/>
        <v>7.4999999999999997E-2</v>
      </c>
      <c r="K214" s="190">
        <f>SUMIFS(Table1[Horas efetivas],Table1[Tabela],Plano_V3!E214,Table1[Campo],Plano_V3!F214)</f>
        <v>0.3</v>
      </c>
      <c r="L214" s="190">
        <f t="shared" si="43"/>
        <v>3.7499999999999999E-2</v>
      </c>
      <c r="M214" s="184"/>
      <c r="N214" s="184">
        <f t="shared" si="44"/>
        <v>0.5</v>
      </c>
      <c r="O214" s="184">
        <f t="shared" si="31"/>
        <v>0.5</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x14ac:dyDescent="0.25">
      <c r="A215" s="30" t="str">
        <f t="shared" si="33"/>
        <v>modesg_param_sfcs_taxon_europeiacomite</v>
      </c>
      <c r="B215" s="68" t="s">
        <v>26</v>
      </c>
      <c r="C215" s="69" t="s">
        <v>181</v>
      </c>
      <c r="D215" s="65" t="s">
        <v>40</v>
      </c>
      <c r="E215" s="67" t="s">
        <v>182</v>
      </c>
      <c r="F215" s="65" t="s">
        <v>192</v>
      </c>
      <c r="G215" s="65" t="str">
        <f>INDEX(Auxiliar!$B$16:$B$24,MATCH(Plano_V3!H215,Auxiliar!$C$16:$C$24,0),1)</f>
        <v>2.1 Em Teste</v>
      </c>
      <c r="H215" s="65">
        <f>VLOOKUP(A215,'Aux - pivots1'!$A:$B,2,0)</f>
        <v>2</v>
      </c>
      <c r="I215" s="190">
        <f>SUMIFS(Table1[Estimação (horas)],Table1[Tabela],Plano_V3!E215,Table1[Campo],Plano_V3!F215)</f>
        <v>0.6</v>
      </c>
      <c r="J215" s="190">
        <f t="shared" si="42"/>
        <v>7.4999999999999997E-2</v>
      </c>
      <c r="K215" s="190">
        <f>SUMIFS(Table1[Horas efetivas],Table1[Tabela],Plano_V3!E215,Table1[Campo],Plano_V3!F215)</f>
        <v>0.3</v>
      </c>
      <c r="L215" s="190">
        <f t="shared" si="43"/>
        <v>3.7499999999999999E-2</v>
      </c>
      <c r="M215" s="184"/>
      <c r="N215" s="184">
        <f t="shared" si="44"/>
        <v>0.5</v>
      </c>
      <c r="O215" s="184">
        <f t="shared" si="31"/>
        <v>0.5</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x14ac:dyDescent="0.25">
      <c r="A216" s="30" t="str">
        <f t="shared" si="33"/>
        <v>modesg_param_sfcs_taxon_europeiadata_aprvc</v>
      </c>
      <c r="B216" s="68" t="s">
        <v>26</v>
      </c>
      <c r="C216" s="69" t="s">
        <v>181</v>
      </c>
      <c r="D216" s="65" t="s">
        <v>40</v>
      </c>
      <c r="E216" s="67" t="s">
        <v>182</v>
      </c>
      <c r="F216" s="65" t="s">
        <v>193</v>
      </c>
      <c r="G216" s="65" t="str">
        <f>INDEX(Auxiliar!$B$16:$B$24,MATCH(Plano_V3!H216,Auxiliar!$C$16:$C$24,0),1)</f>
        <v>2.1 Em Teste</v>
      </c>
      <c r="H216" s="65">
        <f>VLOOKUP(A216,'Aux - pivots1'!$A:$B,2,0)</f>
        <v>2</v>
      </c>
      <c r="I216" s="190">
        <f>SUMIFS(Table1[Estimação (horas)],Table1[Tabela],Plano_V3!E216,Table1[Campo],Plano_V3!F216)</f>
        <v>0.6</v>
      </c>
      <c r="J216" s="190">
        <f t="shared" si="42"/>
        <v>7.4999999999999997E-2</v>
      </c>
      <c r="K216" s="190">
        <f>SUMIFS(Table1[Horas efetivas],Table1[Tabela],Plano_V3!E216,Table1[Campo],Plano_V3!F216)</f>
        <v>0.3</v>
      </c>
      <c r="L216" s="190">
        <f t="shared" si="43"/>
        <v>3.7499999999999999E-2</v>
      </c>
      <c r="M216" s="184"/>
      <c r="N216" s="184">
        <f t="shared" si="44"/>
        <v>0.5</v>
      </c>
      <c r="O216" s="184">
        <f t="shared" si="31"/>
        <v>0.5</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x14ac:dyDescent="0.25">
      <c r="A217" s="30" t="str">
        <f t="shared" si="33"/>
        <v>modesg_param_sfcs_taxon_europeiadata_final</v>
      </c>
      <c r="B217" s="68" t="s">
        <v>26</v>
      </c>
      <c r="C217" s="69" t="s">
        <v>181</v>
      </c>
      <c r="D217" s="65" t="s">
        <v>40</v>
      </c>
      <c r="E217" s="67" t="s">
        <v>182</v>
      </c>
      <c r="F217" s="65" t="s">
        <v>194</v>
      </c>
      <c r="G217" s="65" t="str">
        <f>INDEX(Auxiliar!$B$16:$B$24,MATCH(Plano_V3!H217,Auxiliar!$C$16:$C$24,0),1)</f>
        <v>2.1 Em Teste</v>
      </c>
      <c r="H217" s="65">
        <f>VLOOKUP(A217,'Aux - pivots1'!$A:$B,2,0)</f>
        <v>2</v>
      </c>
      <c r="I217" s="190">
        <f>SUMIFS(Table1[Estimação (horas)],Table1[Tabela],Plano_V3!E217,Table1[Campo],Plano_V3!F217)</f>
        <v>0.6</v>
      </c>
      <c r="J217" s="190">
        <f t="shared" si="42"/>
        <v>7.4999999999999997E-2</v>
      </c>
      <c r="K217" s="190">
        <f>SUMIFS(Table1[Horas efetivas],Table1[Tabela],Plano_V3!E217,Table1[Campo],Plano_V3!F217)</f>
        <v>0.3</v>
      </c>
      <c r="L217" s="190">
        <f t="shared" si="43"/>
        <v>3.7499999999999999E-2</v>
      </c>
      <c r="M217" s="184"/>
      <c r="N217" s="184">
        <f t="shared" si="44"/>
        <v>0.5</v>
      </c>
      <c r="O217" s="184">
        <f t="shared" ref="O217:O280" si="45">N217-M217</f>
        <v>0.5</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x14ac:dyDescent="0.25">
      <c r="A218" s="30" t="str">
        <f t="shared" si="33"/>
        <v>modesg_param_sfcs_taxon_europeiadata_inicial</v>
      </c>
      <c r="B218" s="68" t="s">
        <v>26</v>
      </c>
      <c r="C218" s="69" t="s">
        <v>181</v>
      </c>
      <c r="D218" s="65" t="s">
        <v>40</v>
      </c>
      <c r="E218" s="67" t="s">
        <v>182</v>
      </c>
      <c r="F218" s="65" t="s">
        <v>195</v>
      </c>
      <c r="G218" s="65" t="str">
        <f>INDEX(Auxiliar!$B$16:$B$24,MATCH(Plano_V3!H218,Auxiliar!$C$16:$C$24,0),1)</f>
        <v>2.1 Em Teste</v>
      </c>
      <c r="H218" s="65">
        <f>VLOOKUP(A218,'Aux - pivots1'!$A:$B,2,0)</f>
        <v>2</v>
      </c>
      <c r="I218" s="190">
        <f>SUMIFS(Table1[Estimação (horas)],Table1[Tabela],Plano_V3!E218,Table1[Campo],Plano_V3!F218)</f>
        <v>0.6</v>
      </c>
      <c r="J218" s="190">
        <f t="shared" si="42"/>
        <v>7.4999999999999997E-2</v>
      </c>
      <c r="K218" s="190">
        <f>SUMIFS(Table1[Horas efetivas],Table1[Tabela],Plano_V3!E218,Table1[Campo],Plano_V3!F218)</f>
        <v>0.3</v>
      </c>
      <c r="L218" s="190">
        <f t="shared" si="43"/>
        <v>3.7499999999999999E-2</v>
      </c>
      <c r="M218" s="184"/>
      <c r="N218" s="184">
        <f t="shared" si="44"/>
        <v>0.5</v>
      </c>
      <c r="O218" s="184">
        <f t="shared" si="45"/>
        <v>0.5</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x14ac:dyDescent="0.25">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x14ac:dyDescent="0.25">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x14ac:dyDescent="0.25">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x14ac:dyDescent="0.25">
      <c r="A222" s="30" t="str">
        <f t="shared" si="33"/>
        <v>modesg_param_sfcs_taxon_europeiaflag_project_finance</v>
      </c>
      <c r="B222" s="68" t="s">
        <v>26</v>
      </c>
      <c r="C222" s="69" t="s">
        <v>181</v>
      </c>
      <c r="D222" s="65" t="s">
        <v>40</v>
      </c>
      <c r="E222" s="67" t="s">
        <v>182</v>
      </c>
      <c r="F222" s="65" t="s">
        <v>199</v>
      </c>
      <c r="G222" s="65" t="str">
        <f>INDEX(Auxiliar!$B$16:$B$24,MATCH(Plano_V3!H222,Auxiliar!$C$16:$C$24,0),1)</f>
        <v>2.1 Em Teste</v>
      </c>
      <c r="H222" s="65">
        <f>VLOOKUP(A222,'Aux - pivots1'!$A:$B,2,0)</f>
        <v>2</v>
      </c>
      <c r="I222" s="190">
        <f>SUMIFS(Table1[Estimação (horas)],Table1[Tabela],Plano_V3!E222,Table1[Campo],Plano_V3!F222)</f>
        <v>0.6</v>
      </c>
      <c r="J222" s="190">
        <f t="shared" si="42"/>
        <v>7.4999999999999997E-2</v>
      </c>
      <c r="K222" s="190">
        <f>SUMIFS(Table1[Horas efetivas],Table1[Tabela],Plano_V3!E222,Table1[Campo],Plano_V3!F222)</f>
        <v>0.3</v>
      </c>
      <c r="L222" s="190">
        <f t="shared" si="43"/>
        <v>3.7499999999999999E-2</v>
      </c>
      <c r="M222" s="184"/>
      <c r="N222" s="184">
        <f t="shared" si="44"/>
        <v>0.5</v>
      </c>
      <c r="O222" s="184">
        <f t="shared" si="45"/>
        <v>0.5</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x14ac:dyDescent="0.25">
      <c r="A223" s="30" t="str">
        <f t="shared" si="33"/>
        <v>modesg_param_sfcs_taxon_europeiacfinalidad</v>
      </c>
      <c r="B223" s="68" t="s">
        <v>26</v>
      </c>
      <c r="C223" s="69" t="s">
        <v>181</v>
      </c>
      <c r="D223" s="65" t="s">
        <v>40</v>
      </c>
      <c r="E223" s="67" t="s">
        <v>182</v>
      </c>
      <c r="F223" s="65" t="s">
        <v>200</v>
      </c>
      <c r="G223" s="65" t="str">
        <f>INDEX(Auxiliar!$B$16:$B$24,MATCH(Plano_V3!H223,Auxiliar!$C$16:$C$24,0),1)</f>
        <v>2.1 Em Teste</v>
      </c>
      <c r="H223" s="65">
        <f>VLOOKUP(A223,'Aux - pivots1'!$A:$B,2,0)</f>
        <v>2</v>
      </c>
      <c r="I223" s="190">
        <f>SUMIFS(Table1[Estimação (horas)],Table1[Tabela],Plano_V3!E223,Table1[Campo],Plano_V3!F223)</f>
        <v>0.6</v>
      </c>
      <c r="J223" s="190">
        <f t="shared" si="42"/>
        <v>7.4999999999999997E-2</v>
      </c>
      <c r="K223" s="190">
        <f>SUMIFS(Table1[Horas efetivas],Table1[Tabela],Plano_V3!E223,Table1[Campo],Plano_V3!F223)</f>
        <v>0.3</v>
      </c>
      <c r="L223" s="190">
        <f t="shared" si="43"/>
        <v>3.7499999999999999E-2</v>
      </c>
      <c r="M223" s="184"/>
      <c r="N223" s="184">
        <f t="shared" si="44"/>
        <v>0.5</v>
      </c>
      <c r="O223" s="184">
        <f t="shared" si="45"/>
        <v>0.5</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x14ac:dyDescent="0.25">
      <c r="A224" s="30" t="str">
        <f t="shared" si="33"/>
        <v>modesg_param_sfcs_taxon_europeiatipo_combust</v>
      </c>
      <c r="B224" s="68" t="s">
        <v>26</v>
      </c>
      <c r="C224" s="69" t="s">
        <v>181</v>
      </c>
      <c r="D224" s="65" t="s">
        <v>40</v>
      </c>
      <c r="E224" s="67" t="s">
        <v>182</v>
      </c>
      <c r="F224" s="65" t="s">
        <v>201</v>
      </c>
      <c r="G224" s="65" t="str">
        <f>INDEX(Auxiliar!$B$16:$B$24,MATCH(Plano_V3!H224,Auxiliar!$C$16:$C$24,0),1)</f>
        <v>2.1 Em Teste</v>
      </c>
      <c r="H224" s="65">
        <f>VLOOKUP(A224,'Aux - pivots1'!$A:$B,2,0)</f>
        <v>2</v>
      </c>
      <c r="I224" s="190">
        <f>SUMIFS(Table1[Estimação (horas)],Table1[Tabela],Plano_V3!E224,Table1[Campo],Plano_V3!F224)</f>
        <v>0.6</v>
      </c>
      <c r="J224" s="190">
        <f t="shared" si="42"/>
        <v>7.4999999999999997E-2</v>
      </c>
      <c r="K224" s="190">
        <f>SUMIFS(Table1[Horas efetivas],Table1[Tabela],Plano_V3!E224,Table1[Campo],Plano_V3!F224)</f>
        <v>0.3</v>
      </c>
      <c r="L224" s="190">
        <f t="shared" si="43"/>
        <v>3.7499999999999999E-2</v>
      </c>
      <c r="M224" s="184"/>
      <c r="N224" s="184">
        <f t="shared" si="44"/>
        <v>0.5</v>
      </c>
      <c r="O224" s="184">
        <f t="shared" si="45"/>
        <v>0.5</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x14ac:dyDescent="0.25">
      <c r="A225" s="30" t="str">
        <f t="shared" si="33"/>
        <v>modesg_param_sfcs_taxon_europeiamontante_pndrc</v>
      </c>
      <c r="B225" s="68" t="s">
        <v>26</v>
      </c>
      <c r="C225" s="69" t="s">
        <v>181</v>
      </c>
      <c r="D225" s="65" t="s">
        <v>40</v>
      </c>
      <c r="E225" s="67" t="s">
        <v>182</v>
      </c>
      <c r="F225" s="65" t="s">
        <v>202</v>
      </c>
      <c r="G225" s="65" t="str">
        <f>INDEX(Auxiliar!$B$16:$B$24,MATCH(Plano_V3!H225,Auxiliar!$C$16:$C$24,0),1)</f>
        <v>2.1 Em Teste</v>
      </c>
      <c r="H225" s="65">
        <f>VLOOKUP(A225,'Aux - pivots1'!$A:$B,2,0)</f>
        <v>2</v>
      </c>
      <c r="I225" s="190">
        <f>SUMIFS(Table1[Estimação (horas)],Table1[Tabela],Plano_V3!E225,Table1[Campo],Plano_V3!F225)</f>
        <v>0.6</v>
      </c>
      <c r="J225" s="190">
        <f t="shared" si="42"/>
        <v>7.4999999999999997E-2</v>
      </c>
      <c r="K225" s="190">
        <f>SUMIFS(Table1[Horas efetivas],Table1[Tabela],Plano_V3!E225,Table1[Campo],Plano_V3!F225)</f>
        <v>0.3</v>
      </c>
      <c r="L225" s="190">
        <f t="shared" si="43"/>
        <v>3.7499999999999999E-2</v>
      </c>
      <c r="M225" s="184"/>
      <c r="N225" s="184">
        <f t="shared" si="44"/>
        <v>0.5</v>
      </c>
      <c r="O225" s="184">
        <f t="shared" si="45"/>
        <v>0.5</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x14ac:dyDescent="0.25">
      <c r="A226" s="30" t="str">
        <f t="shared" si="33"/>
        <v>modesg_param_sfcs_taxon_europeianome_ctgr_sfcs</v>
      </c>
      <c r="B226" s="68" t="s">
        <v>26</v>
      </c>
      <c r="C226" s="69" t="s">
        <v>181</v>
      </c>
      <c r="D226" s="65" t="s">
        <v>40</v>
      </c>
      <c r="E226" s="67" t="s">
        <v>182</v>
      </c>
      <c r="F226" s="65" t="s">
        <v>203</v>
      </c>
      <c r="G226" s="65" t="str">
        <f>INDEX(Auxiliar!$B$16:$B$24,MATCH(Plano_V3!H226,Auxiliar!$C$16:$C$24,0),1)</f>
        <v>2.1 Em Teste</v>
      </c>
      <c r="H226" s="65">
        <f>VLOOKUP(A226,'Aux - pivots1'!$A:$B,2,0)</f>
        <v>2</v>
      </c>
      <c r="I226" s="190">
        <f>SUMIFS(Table1[Estimação (horas)],Table1[Tabela],Plano_V3!E226,Table1[Campo],Plano_V3!F226)</f>
        <v>0.6</v>
      </c>
      <c r="J226" s="190">
        <f t="shared" si="42"/>
        <v>7.4999999999999997E-2</v>
      </c>
      <c r="K226" s="190">
        <f>SUMIFS(Table1[Horas efetivas],Table1[Tabela],Plano_V3!E226,Table1[Campo],Plano_V3!F226)</f>
        <v>0.3</v>
      </c>
      <c r="L226" s="190">
        <f t="shared" si="43"/>
        <v>3.7499999999999999E-2</v>
      </c>
      <c r="M226" s="184"/>
      <c r="N226" s="184">
        <f t="shared" si="44"/>
        <v>0.5</v>
      </c>
      <c r="O226" s="184">
        <f t="shared" si="45"/>
        <v>0.5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x14ac:dyDescent="0.25">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2.1 Em Teste</v>
      </c>
      <c r="H227" s="65">
        <f>VLOOKUP(A227,'Aux - pivots1'!$A:$B,2,0)</f>
        <v>2</v>
      </c>
      <c r="I227" s="190">
        <f>SUMIFS(Table1[Estimação (horas)],Table1[Tabela],Plano_V3!E227,Table1[Campo],Plano_V3!F227)</f>
        <v>0.6</v>
      </c>
      <c r="J227" s="190">
        <f t="shared" si="42"/>
        <v>7.4999999999999997E-2</v>
      </c>
      <c r="K227" s="190">
        <f>SUMIFS(Table1[Horas efetivas],Table1[Tabela],Plano_V3!E227,Table1[Campo],Plano_V3!F227)</f>
        <v>0.3</v>
      </c>
      <c r="L227" s="190">
        <f t="shared" si="43"/>
        <v>3.7499999999999999E-2</v>
      </c>
      <c r="M227" s="184"/>
      <c r="N227" s="184">
        <f t="shared" si="44"/>
        <v>0.5</v>
      </c>
      <c r="O227" s="184">
        <f t="shared" si="45"/>
        <v>0.5</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x14ac:dyDescent="0.25">
      <c r="A228" s="30" t="str">
        <f t="shared" si="47"/>
        <v>modesg_param_sfcs_taxon_europeianome_purpose_esg</v>
      </c>
      <c r="B228" s="68" t="s">
        <v>26</v>
      </c>
      <c r="C228" s="69" t="s">
        <v>181</v>
      </c>
      <c r="D228" s="65" t="s">
        <v>40</v>
      </c>
      <c r="E228" s="67" t="s">
        <v>182</v>
      </c>
      <c r="F228" s="65" t="s">
        <v>205</v>
      </c>
      <c r="G228" s="65" t="str">
        <f>INDEX(Auxiliar!$B$16:$B$24,MATCH(Plano_V3!H228,Auxiliar!$C$16:$C$24,0),1)</f>
        <v>2.1 Em Teste</v>
      </c>
      <c r="H228" s="65">
        <f>VLOOKUP(A228,'Aux - pivots1'!$A:$B,2,0)</f>
        <v>2</v>
      </c>
      <c r="I228" s="190">
        <f>SUMIFS(Table1[Estimação (horas)],Table1[Tabela],Plano_V3!E228,Table1[Campo],Plano_V3!F228)</f>
        <v>0.6</v>
      </c>
      <c r="J228" s="190">
        <f t="shared" si="42"/>
        <v>7.4999999999999997E-2</v>
      </c>
      <c r="K228" s="190">
        <f>SUMIFS(Table1[Horas efetivas],Table1[Tabela],Plano_V3!E228,Table1[Campo],Plano_V3!F228)</f>
        <v>0.3</v>
      </c>
      <c r="L228" s="190">
        <f t="shared" si="43"/>
        <v>3.7499999999999999E-2</v>
      </c>
      <c r="M228" s="184"/>
      <c r="N228" s="184">
        <f t="shared" si="44"/>
        <v>0.5</v>
      </c>
      <c r="O228" s="184">
        <f t="shared" si="45"/>
        <v>0.5</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x14ac:dyDescent="0.25">
      <c r="A229" s="30" t="str">
        <f t="shared" si="47"/>
        <v>modesg_param_sfcs_taxon_europeianome_specific_eligible</v>
      </c>
      <c r="B229" s="68" t="s">
        <v>26</v>
      </c>
      <c r="C229" s="69" t="s">
        <v>181</v>
      </c>
      <c r="D229" s="65" t="s">
        <v>40</v>
      </c>
      <c r="E229" s="67" t="s">
        <v>182</v>
      </c>
      <c r="F229" s="65" t="s">
        <v>206</v>
      </c>
      <c r="G229" s="65" t="str">
        <f>INDEX(Auxiliar!$B$16:$B$24,MATCH(Plano_V3!H229,Auxiliar!$C$16:$C$24,0),1)</f>
        <v>2.1 Em Teste</v>
      </c>
      <c r="H229" s="65">
        <f>VLOOKUP(A229,'Aux - pivots1'!$A:$B,2,0)</f>
        <v>2</v>
      </c>
      <c r="I229" s="190">
        <f>SUMIFS(Table1[Estimação (horas)],Table1[Tabela],Plano_V3!E229,Table1[Campo],Plano_V3!F229)</f>
        <v>0.6</v>
      </c>
      <c r="J229" s="190">
        <f t="shared" si="42"/>
        <v>7.4999999999999997E-2</v>
      </c>
      <c r="K229" s="190">
        <f>SUMIFS(Table1[Horas efetivas],Table1[Tabela],Plano_V3!E229,Table1[Campo],Plano_V3!F229)</f>
        <v>0.3</v>
      </c>
      <c r="L229" s="190">
        <f t="shared" si="43"/>
        <v>3.7499999999999999E-2</v>
      </c>
      <c r="M229" s="184"/>
      <c r="N229" s="184">
        <f t="shared" si="44"/>
        <v>0.5</v>
      </c>
      <c r="O229" s="184">
        <f t="shared" si="45"/>
        <v>0.5</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x14ac:dyDescent="0.25">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2.1 Em Teste</v>
      </c>
      <c r="H230" s="65">
        <f>VLOOKUP(A230,'Aux - pivots1'!$A:$B,2,0)</f>
        <v>2</v>
      </c>
      <c r="I230" s="190">
        <f>SUMIFS(Table1[Estimação (horas)],Table1[Tabela],Plano_V3!E230,Table1[Campo],Plano_V3!F230)</f>
        <v>0.6</v>
      </c>
      <c r="J230" s="190">
        <f t="shared" si="42"/>
        <v>7.4999999999999997E-2</v>
      </c>
      <c r="K230" s="190">
        <f>SUMIFS(Table1[Horas efetivas],Table1[Tabela],Plano_V3!E230,Table1[Campo],Plano_V3!F230)</f>
        <v>0.3</v>
      </c>
      <c r="L230" s="190">
        <f t="shared" si="43"/>
        <v>3.7499999999999999E-2</v>
      </c>
      <c r="M230" s="184"/>
      <c r="N230" s="184">
        <f t="shared" si="44"/>
        <v>0.5</v>
      </c>
      <c r="O230" s="184">
        <f t="shared" si="45"/>
        <v>0.5</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x14ac:dyDescent="0.25">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x14ac:dyDescent="0.25">
      <c r="A232" s="30" t="str">
        <f t="shared" si="47"/>
        <v>modesg_param_sfcs_taxon_europeiazcliente</v>
      </c>
      <c r="B232" s="68" t="s">
        <v>26</v>
      </c>
      <c r="C232" s="69" t="s">
        <v>181</v>
      </c>
      <c r="D232" s="65" t="s">
        <v>40</v>
      </c>
      <c r="E232" s="67" t="s">
        <v>182</v>
      </c>
      <c r="F232" s="65" t="s">
        <v>209</v>
      </c>
      <c r="G232" s="65" t="str">
        <f>INDEX(Auxiliar!$B$16:$B$24,MATCH(Plano_V3!H232,Auxiliar!$C$16:$C$24,0),1)</f>
        <v>2.1 Em Teste</v>
      </c>
      <c r="H232" s="65">
        <f>VLOOKUP(A232,'Aux - pivots1'!$A:$B,2,0)</f>
        <v>2</v>
      </c>
      <c r="I232" s="190">
        <f>SUMIFS(Table1[Estimação (horas)],Table1[Tabela],Plano_V3!E232,Table1[Campo],Plano_V3!F232)</f>
        <v>0.6</v>
      </c>
      <c r="J232" s="190">
        <f t="shared" si="42"/>
        <v>7.4999999999999997E-2</v>
      </c>
      <c r="K232" s="190">
        <f>SUMIFS(Table1[Horas efetivas],Table1[Tabela],Plano_V3!E232,Table1[Campo],Plano_V3!F232)</f>
        <v>0.3</v>
      </c>
      <c r="L232" s="190">
        <f t="shared" si="43"/>
        <v>3.7499999999999999E-2</v>
      </c>
      <c r="M232" s="184"/>
      <c r="N232" s="184">
        <f t="shared" si="44"/>
        <v>0.5</v>
      </c>
      <c r="O232" s="184">
        <f t="shared" si="45"/>
        <v>0.5</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x14ac:dyDescent="0.25">
      <c r="A233" s="30" t="str">
        <f t="shared" si="47"/>
        <v>modesg_param_sfcs_taxon_europeiazdeposit</v>
      </c>
      <c r="B233" s="68" t="s">
        <v>26</v>
      </c>
      <c r="C233" s="69" t="s">
        <v>181</v>
      </c>
      <c r="D233" s="65" t="s">
        <v>40</v>
      </c>
      <c r="E233" s="67" t="s">
        <v>182</v>
      </c>
      <c r="F233" s="65" t="s">
        <v>210</v>
      </c>
      <c r="G233" s="65" t="str">
        <f>INDEX(Auxiliar!$B$16:$B$24,MATCH(Plano_V3!H233,Auxiliar!$C$16:$C$24,0),1)</f>
        <v>2.1 Em Teste</v>
      </c>
      <c r="H233" s="65">
        <f>VLOOKUP(A233,'Aux - pivots1'!$A:$B,2,0)</f>
        <v>2</v>
      </c>
      <c r="I233" s="190">
        <f>SUMIFS(Table1[Estimação (horas)],Table1[Tabela],Plano_V3!E233,Table1[Campo],Plano_V3!F233)</f>
        <v>0.6</v>
      </c>
      <c r="J233" s="190">
        <f t="shared" si="42"/>
        <v>7.4999999999999997E-2</v>
      </c>
      <c r="K233" s="190">
        <f>SUMIFS(Table1[Horas efetivas],Table1[Tabela],Plano_V3!E233,Table1[Campo],Plano_V3!F233)</f>
        <v>0.3</v>
      </c>
      <c r="L233" s="190">
        <f t="shared" si="43"/>
        <v>3.7499999999999999E-2</v>
      </c>
      <c r="M233" s="184"/>
      <c r="N233" s="184">
        <f t="shared" si="44"/>
        <v>0.5</v>
      </c>
      <c r="O233" s="184">
        <f t="shared" si="45"/>
        <v>0.5</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x14ac:dyDescent="0.25">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x14ac:dyDescent="0.25">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x14ac:dyDescent="0.25">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x14ac:dyDescent="0.25">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x14ac:dyDescent="0.25">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x14ac:dyDescent="0.25">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x14ac:dyDescent="0.25">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x14ac:dyDescent="0.25">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x14ac:dyDescent="0.25">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x14ac:dyDescent="0.25">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x14ac:dyDescent="0.25">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x14ac:dyDescent="0.25">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x14ac:dyDescent="0.25">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x14ac:dyDescent="0.25">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x14ac:dyDescent="0.25">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x14ac:dyDescent="0.25">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x14ac:dyDescent="0.25">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x14ac:dyDescent="0.25">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x14ac:dyDescent="0.25">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x14ac:dyDescent="0.25">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x14ac:dyDescent="0.25">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x14ac:dyDescent="0.25">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x14ac:dyDescent="0.25">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x14ac:dyDescent="0.25">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x14ac:dyDescent="0.25">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x14ac:dyDescent="0.25">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x14ac:dyDescent="0.25">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x14ac:dyDescent="0.25">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x14ac:dyDescent="0.25">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x14ac:dyDescent="0.25">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x14ac:dyDescent="0.25">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x14ac:dyDescent="0.25">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x14ac:dyDescent="0.25">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x14ac:dyDescent="0.25">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x14ac:dyDescent="0.25">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x14ac:dyDescent="0.25">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x14ac:dyDescent="0.25">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x14ac:dyDescent="0.25">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x14ac:dyDescent="0.25">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x14ac:dyDescent="0.25">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x14ac:dyDescent="0.25">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x14ac:dyDescent="0.25">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x14ac:dyDescent="0.25">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x14ac:dyDescent="0.25">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x14ac:dyDescent="0.25">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x14ac:dyDescent="0.25">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x14ac:dyDescent="0.25">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x14ac:dyDescent="0.25">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x14ac:dyDescent="0.25">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x14ac:dyDescent="0.25">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x14ac:dyDescent="0.25">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x14ac:dyDescent="0.25">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x14ac:dyDescent="0.25">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x14ac:dyDescent="0.25">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x14ac:dyDescent="0.25">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x14ac:dyDescent="0.25">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x14ac:dyDescent="0.25">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x14ac:dyDescent="0.25">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x14ac:dyDescent="0.25">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x14ac:dyDescent="0.25">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x14ac:dyDescent="0.25">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x14ac:dyDescent="0.25">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x14ac:dyDescent="0.25">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x14ac:dyDescent="0.25">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x14ac:dyDescent="0.25">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x14ac:dyDescent="0.25">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x14ac:dyDescent="0.25">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x14ac:dyDescent="0.25">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x14ac:dyDescent="0.25">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x14ac:dyDescent="0.25">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x14ac:dyDescent="0.25">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x14ac:dyDescent="0.25">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x14ac:dyDescent="0.25">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x14ac:dyDescent="0.25">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x14ac:dyDescent="0.25">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x14ac:dyDescent="0.25">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x14ac:dyDescent="0.25">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x14ac:dyDescent="0.25">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x14ac:dyDescent="0.25">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x14ac:dyDescent="0.25">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x14ac:dyDescent="0.25">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x14ac:dyDescent="0.25">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x14ac:dyDescent="0.25">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x14ac:dyDescent="0.25">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x14ac:dyDescent="0.25">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x14ac:dyDescent="0.25">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x14ac:dyDescent="0.25">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x14ac:dyDescent="0.25">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x14ac:dyDescent="0.25">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x14ac:dyDescent="0.25">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x14ac:dyDescent="0.25">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x14ac:dyDescent="0.25">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x14ac:dyDescent="0.25">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x14ac:dyDescent="0.25">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x14ac:dyDescent="0.25">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x14ac:dyDescent="0.25">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x14ac:dyDescent="0.25">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x14ac:dyDescent="0.25">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x14ac:dyDescent="0.25">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x14ac:dyDescent="0.25">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x14ac:dyDescent="0.25">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x14ac:dyDescent="0.25">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x14ac:dyDescent="0.25">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x14ac:dyDescent="0.25">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x14ac:dyDescent="0.25">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x14ac:dyDescent="0.25">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x14ac:dyDescent="0.25">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x14ac:dyDescent="0.25">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x14ac:dyDescent="0.25">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x14ac:dyDescent="0.25">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x14ac:dyDescent="0.25">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x14ac:dyDescent="0.25">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x14ac:dyDescent="0.25">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x14ac:dyDescent="0.25">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x14ac:dyDescent="0.25">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x14ac:dyDescent="0.25">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x14ac:dyDescent="0.25">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x14ac:dyDescent="0.25">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x14ac:dyDescent="0.25">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x14ac:dyDescent="0.25">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x14ac:dyDescent="0.25">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x14ac:dyDescent="0.25">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x14ac:dyDescent="0.25">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x14ac:dyDescent="0.25">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x14ac:dyDescent="0.25">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x14ac:dyDescent="0.25">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x14ac:dyDescent="0.25">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x14ac:dyDescent="0.25">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x14ac:dyDescent="0.25">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x14ac:dyDescent="0.25">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x14ac:dyDescent="0.25">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x14ac:dyDescent="0.25">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x14ac:dyDescent="0.25">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x14ac:dyDescent="0.25">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x14ac:dyDescent="0.25">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x14ac:dyDescent="0.25">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x14ac:dyDescent="0.4">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x14ac:dyDescent="0.4">
      <c r="A371" s="105" t="str">
        <f t="shared" si="63"/>
        <v/>
      </c>
      <c r="B371" s="64" t="s">
        <v>26</v>
      </c>
      <c r="C371" s="97" t="s">
        <v>311</v>
      </c>
      <c r="D371" s="97"/>
      <c r="E371" s="104"/>
      <c r="F371" s="97"/>
      <c r="G371" s="97"/>
      <c r="H371" s="97"/>
      <c r="I371" s="189">
        <f>SUM(I372:I455)</f>
        <v>796.3875000000013</v>
      </c>
      <c r="J371" s="189">
        <f>ROUNDUP(I371/8,0)</f>
        <v>100</v>
      </c>
      <c r="K371" s="189">
        <f>SUM(K372:K455)</f>
        <v>286.34062500000022</v>
      </c>
      <c r="L371" s="189">
        <f>ROUNDUP(K371/8,0)</f>
        <v>36</v>
      </c>
      <c r="M371" s="188">
        <f>SUMIFS(R371:ES371,$R$9:$ES$9,"S")/J371</f>
        <v>0.32500000000000001</v>
      </c>
      <c r="N371" s="188">
        <f>IFERROR(L371/J371,0)-15%</f>
        <v>0.21</v>
      </c>
      <c r="O371" s="188">
        <f t="shared" si="61"/>
        <v>-0.11500000000000002</v>
      </c>
      <c r="P371" s="195" t="s">
        <v>1935</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x14ac:dyDescent="0.4">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x14ac:dyDescent="0.4">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x14ac:dyDescent="0.4">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x14ac:dyDescent="0.4">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x14ac:dyDescent="0.4">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x14ac:dyDescent="0.4">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x14ac:dyDescent="0.4">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x14ac:dyDescent="0.4">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x14ac:dyDescent="0.4">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x14ac:dyDescent="0.4">
      <c r="A381" s="30" t="str">
        <f t="shared" si="63"/>
        <v>modesg_out_bens_imoveisorigem_scp1_emss</v>
      </c>
      <c r="B381" s="68" t="s">
        <v>26</v>
      </c>
      <c r="C381" s="69" t="s">
        <v>311</v>
      </c>
      <c r="D381" s="65" t="s">
        <v>40</v>
      </c>
      <c r="E381" s="67" t="s">
        <v>312</v>
      </c>
      <c r="F381" s="65" t="s">
        <v>320</v>
      </c>
      <c r="G381" s="65" t="str">
        <f>INDEX(Auxiliar!$B$16:$B$24,MATCH(Plano_V3!H381,Auxiliar!$C$16:$C$24,0),1)</f>
        <v>2.1 Em Teste</v>
      </c>
      <c r="H381" s="65">
        <f>VLOOKUP(A381,'Aux - pivots1'!$A:$B,2,0)</f>
        <v>2</v>
      </c>
      <c r="I381" s="190">
        <f>SUMIFS(Table1[Estimação (horas)],Table1[Tabela],Plano_V3!E381,Table1[Campo],Plano_V3!F381)</f>
        <v>4.0999999999999996</v>
      </c>
      <c r="J381" s="190">
        <f t="shared" si="64"/>
        <v>0.51249999999999996</v>
      </c>
      <c r="K381" s="190">
        <f>SUMIFS(Table1[Horas efetivas],Table1[Tabela],Plano_V3!E381,Table1[Campo],Plano_V3!F381)</f>
        <v>2.0499999999999998</v>
      </c>
      <c r="L381" s="190">
        <f t="shared" si="65"/>
        <v>0.25624999999999998</v>
      </c>
      <c r="M381" s="184"/>
      <c r="N381" s="184">
        <f t="shared" si="66"/>
        <v>0.5</v>
      </c>
      <c r="O381" s="184">
        <f t="shared" si="61"/>
        <v>0.5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x14ac:dyDescent="0.4">
      <c r="A382" s="30" t="str">
        <f t="shared" si="63"/>
        <v>modesg_out_bens_imoveisorigem_scp2_emss</v>
      </c>
      <c r="B382" s="68" t="s">
        <v>26</v>
      </c>
      <c r="C382" s="69" t="s">
        <v>311</v>
      </c>
      <c r="D382" s="65" t="s">
        <v>40</v>
      </c>
      <c r="E382" s="67" t="s">
        <v>312</v>
      </c>
      <c r="F382" s="65" t="s">
        <v>321</v>
      </c>
      <c r="G382" s="65" t="str">
        <f>INDEX(Auxiliar!$B$16:$B$24,MATCH(Plano_V3!H382,Auxiliar!$C$16:$C$24,0),1)</f>
        <v>2.1 Em Teste</v>
      </c>
      <c r="H382" s="65">
        <f>VLOOKUP(A382,'Aux - pivots1'!$A:$B,2,0)</f>
        <v>2</v>
      </c>
      <c r="I382" s="190">
        <f>SUMIFS(Table1[Estimação (horas)],Table1[Tabela],Plano_V3!E382,Table1[Campo],Plano_V3!F382)</f>
        <v>4.0999999999999996</v>
      </c>
      <c r="J382" s="190">
        <f t="shared" si="64"/>
        <v>0.51249999999999996</v>
      </c>
      <c r="K382" s="190">
        <f>SUMIFS(Table1[Horas efetivas],Table1[Tabela],Plano_V3!E382,Table1[Campo],Plano_V3!F382)</f>
        <v>2.0499999999999998</v>
      </c>
      <c r="L382" s="190">
        <f t="shared" si="65"/>
        <v>0.25624999999999998</v>
      </c>
      <c r="M382" s="184"/>
      <c r="N382" s="184">
        <f t="shared" si="66"/>
        <v>0.5</v>
      </c>
      <c r="O382" s="184">
        <f t="shared" si="61"/>
        <v>0.5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x14ac:dyDescent="0.4">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x14ac:dyDescent="0.4">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x14ac:dyDescent="0.4">
      <c r="A385" s="30" t="str">
        <f t="shared" si="63"/>
        <v>modesg_out_bens_imoveisscp1_emss</v>
      </c>
      <c r="B385" s="68" t="s">
        <v>26</v>
      </c>
      <c r="C385" s="69" t="s">
        <v>311</v>
      </c>
      <c r="D385" s="65" t="s">
        <v>40</v>
      </c>
      <c r="E385" s="67" t="s">
        <v>312</v>
      </c>
      <c r="F385" s="65" t="s">
        <v>286</v>
      </c>
      <c r="G385" s="65" t="str">
        <f>INDEX(Auxiliar!$B$16:$B$24,MATCH(Plano_V3!H385,Auxiliar!$C$16:$C$24,0),1)</f>
        <v>2.1 Em Teste</v>
      </c>
      <c r="H385" s="65">
        <f>VLOOKUP(A385,'Aux - pivots1'!$A:$B,2,0)</f>
        <v>2</v>
      </c>
      <c r="I385" s="190">
        <f>SUMIFS(Table1[Estimação (horas)],Table1[Tabela],Plano_V3!E385,Table1[Campo],Plano_V3!F385)</f>
        <v>8.1</v>
      </c>
      <c r="J385" s="190">
        <f t="shared" si="64"/>
        <v>1.0125</v>
      </c>
      <c r="K385" s="190">
        <f>SUMIFS(Table1[Horas efetivas],Table1[Tabela],Plano_V3!E385,Table1[Campo],Plano_V3!F385)</f>
        <v>4.05</v>
      </c>
      <c r="L385" s="190">
        <f t="shared" si="65"/>
        <v>0.50624999999999998</v>
      </c>
      <c r="M385" s="184"/>
      <c r="N385" s="184">
        <f t="shared" si="66"/>
        <v>0.5</v>
      </c>
      <c r="O385" s="184">
        <f t="shared" si="61"/>
        <v>0.5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x14ac:dyDescent="0.4">
      <c r="A386" s="30" t="str">
        <f t="shared" si="63"/>
        <v>modesg_out_bens_imoveisscp2_emss</v>
      </c>
      <c r="B386" s="68" t="s">
        <v>26</v>
      </c>
      <c r="C386" s="69" t="s">
        <v>311</v>
      </c>
      <c r="D386" s="65" t="s">
        <v>40</v>
      </c>
      <c r="E386" s="67" t="s">
        <v>312</v>
      </c>
      <c r="F386" s="65" t="s">
        <v>287</v>
      </c>
      <c r="G386" s="65" t="str">
        <f>INDEX(Auxiliar!$B$16:$B$24,MATCH(Plano_V3!H386,Auxiliar!$C$16:$C$24,0),1)</f>
        <v>2.1 Em Teste</v>
      </c>
      <c r="H386" s="65">
        <f>VLOOKUP(A386,'Aux - pivots1'!$A:$B,2,0)</f>
        <v>2</v>
      </c>
      <c r="I386" s="190">
        <f>SUMIFS(Table1[Estimação (horas)],Table1[Tabela],Plano_V3!E386,Table1[Campo],Plano_V3!F386)</f>
        <v>8.1</v>
      </c>
      <c r="J386" s="190">
        <f t="shared" si="64"/>
        <v>1.0125</v>
      </c>
      <c r="K386" s="190">
        <f>SUMIFS(Table1[Horas efetivas],Table1[Tabela],Plano_V3!E386,Table1[Campo],Plano_V3!F386)</f>
        <v>4.05</v>
      </c>
      <c r="L386" s="190">
        <f t="shared" si="65"/>
        <v>0.50624999999999998</v>
      </c>
      <c r="M386" s="184"/>
      <c r="N386" s="184">
        <f t="shared" si="66"/>
        <v>0.5</v>
      </c>
      <c r="O386" s="184">
        <f t="shared" si="61"/>
        <v>0.5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x14ac:dyDescent="0.4">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x14ac:dyDescent="0.4">
      <c r="A388" s="30" t="str">
        <f t="shared" si="63"/>
        <v>modesg_out_bens_imoveisunidade_funcional_scp1_emss</v>
      </c>
      <c r="B388" s="68" t="s">
        <v>26</v>
      </c>
      <c r="C388" s="69" t="s">
        <v>311</v>
      </c>
      <c r="D388" s="65" t="s">
        <v>40</v>
      </c>
      <c r="E388" s="67" t="s">
        <v>312</v>
      </c>
      <c r="F388" s="65" t="s">
        <v>323</v>
      </c>
      <c r="G388" s="65" t="str">
        <f>INDEX(Auxiliar!$B$16:$B$24,MATCH(Plano_V3!H388,Auxiliar!$C$16:$C$24,0),1)</f>
        <v>2.1 Em Teste</v>
      </c>
      <c r="H388" s="65">
        <f>VLOOKUP(A388,'Aux - pivots1'!$A:$B,2,0)</f>
        <v>2</v>
      </c>
      <c r="I388" s="190">
        <f>SUMIFS(Table1[Estimação (horas)],Table1[Tabela],Plano_V3!E388,Table1[Campo],Plano_V3!F388)</f>
        <v>4.0999999999999996</v>
      </c>
      <c r="J388" s="190">
        <f t="shared" si="64"/>
        <v>0.51249999999999996</v>
      </c>
      <c r="K388" s="190">
        <f>SUMIFS(Table1[Horas efetivas],Table1[Tabela],Plano_V3!E388,Table1[Campo],Plano_V3!F388)</f>
        <v>2.0499999999999998</v>
      </c>
      <c r="L388" s="190">
        <f t="shared" si="65"/>
        <v>0.25624999999999998</v>
      </c>
      <c r="M388" s="184"/>
      <c r="N388" s="184">
        <f t="shared" si="66"/>
        <v>0.5</v>
      </c>
      <c r="O388" s="184">
        <f t="shared" si="61"/>
        <v>0.5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x14ac:dyDescent="0.4">
      <c r="A389" s="30" t="str">
        <f t="shared" si="63"/>
        <v>modesg_out_bens_imoveisunidade_funcional_scp2_emss</v>
      </c>
      <c r="B389" s="68" t="s">
        <v>26</v>
      </c>
      <c r="C389" s="69" t="s">
        <v>311</v>
      </c>
      <c r="D389" s="65" t="s">
        <v>40</v>
      </c>
      <c r="E389" s="67" t="s">
        <v>312</v>
      </c>
      <c r="F389" s="65" t="s">
        <v>324</v>
      </c>
      <c r="G389" s="65" t="str">
        <f>INDEX(Auxiliar!$B$16:$B$24,MATCH(Plano_V3!H389,Auxiliar!$C$16:$C$24,0),1)</f>
        <v>2.1 Em Teste</v>
      </c>
      <c r="H389" s="65">
        <f>VLOOKUP(A389,'Aux - pivots1'!$A:$B,2,0)</f>
        <v>2</v>
      </c>
      <c r="I389" s="190">
        <f>SUMIFS(Table1[Estimação (horas)],Table1[Tabela],Plano_V3!E389,Table1[Campo],Plano_V3!F389)</f>
        <v>4.0999999999999996</v>
      </c>
      <c r="J389" s="190">
        <f t="shared" si="64"/>
        <v>0.51249999999999996</v>
      </c>
      <c r="K389" s="190">
        <f>SUMIFS(Table1[Horas efetivas],Table1[Tabela],Plano_V3!E389,Table1[Campo],Plano_V3!F389)</f>
        <v>2.0499999999999998</v>
      </c>
      <c r="L389" s="190">
        <f t="shared" si="65"/>
        <v>0.25624999999999998</v>
      </c>
      <c r="M389" s="184"/>
      <c r="N389" s="184">
        <f t="shared" si="66"/>
        <v>0.5</v>
      </c>
      <c r="O389" s="184">
        <f t="shared" si="61"/>
        <v>0.5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x14ac:dyDescent="0.4">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x14ac:dyDescent="0.4">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x14ac:dyDescent="0.4">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x14ac:dyDescent="0.4">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x14ac:dyDescent="0.4">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x14ac:dyDescent="0.4">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x14ac:dyDescent="0.4">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x14ac:dyDescent="0.4">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x14ac:dyDescent="0.4">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x14ac:dyDescent="0.4">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x14ac:dyDescent="0.4">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x14ac:dyDescent="0.4">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x14ac:dyDescent="0.4">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x14ac:dyDescent="0.4">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x14ac:dyDescent="0.4">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x14ac:dyDescent="0.4">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x14ac:dyDescent="0.4">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x14ac:dyDescent="0.4">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x14ac:dyDescent="0.4">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x14ac:dyDescent="0.4">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x14ac:dyDescent="0.4">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x14ac:dyDescent="0.4">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x14ac:dyDescent="0.4">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x14ac:dyDescent="0.4">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x14ac:dyDescent="0.4">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x14ac:dyDescent="0.4">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x14ac:dyDescent="0.4">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x14ac:dyDescent="0.4">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x14ac:dyDescent="0.4">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x14ac:dyDescent="0.4">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x14ac:dyDescent="0.4">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x14ac:dyDescent="0.4">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x14ac:dyDescent="0.4">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x14ac:dyDescent="0.4">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x14ac:dyDescent="0.4">
      <c r="A424" s="30" t="str">
        <f t="shared" si="69"/>
        <v>modesg_out_emss_vclsn.a.</v>
      </c>
      <c r="B424" s="68" t="s">
        <v>26</v>
      </c>
      <c r="C424" s="69" t="s">
        <v>311</v>
      </c>
      <c r="D424" s="65" t="s">
        <v>36</v>
      </c>
      <c r="E424" s="67" t="s">
        <v>332</v>
      </c>
      <c r="F424" s="65" t="s">
        <v>38</v>
      </c>
      <c r="G424" s="65" t="str">
        <f>INDEX(Auxiliar!$B$16:$B$24,MATCH(Plano_V3!H424,Auxiliar!$C$16:$C$24,0),1)</f>
        <v>6. Em implementação (re-especificação)</v>
      </c>
      <c r="H424" s="65">
        <f>VLOOKUP(A424,'Aux - pivots1'!$A:$B,2,0)</f>
        <v>7</v>
      </c>
      <c r="I424" s="190">
        <f>SUMIFS(Table1[Estimação (horas)],Table1[Tabela],Plano_V3!E424,Table1[Campo],Plano_V3!F424)</f>
        <v>8</v>
      </c>
      <c r="J424" s="190">
        <f t="shared" si="64"/>
        <v>1</v>
      </c>
      <c r="K424" s="190">
        <f>SUMIFS(Table1[Horas efetivas],Table1[Tabela],Plano_V3!E424,Table1[Campo],Plano_V3!F424)</f>
        <v>2</v>
      </c>
      <c r="L424" s="190">
        <f t="shared" si="65"/>
        <v>0.25</v>
      </c>
      <c r="M424" s="184"/>
      <c r="N424" s="184">
        <f t="shared" si="66"/>
        <v>0.25</v>
      </c>
      <c r="O424" s="184">
        <f t="shared" si="67"/>
        <v>0.25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x14ac:dyDescent="0.4">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x14ac:dyDescent="0.4">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x14ac:dyDescent="0.4">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x14ac:dyDescent="0.4">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x14ac:dyDescent="0.4">
      <c r="A429" s="30" t="str">
        <f t="shared" si="69"/>
        <v>modesg_out_emss_vclscnsm_co2</v>
      </c>
      <c r="B429" s="68" t="s">
        <v>26</v>
      </c>
      <c r="C429" s="69" t="s">
        <v>311</v>
      </c>
      <c r="D429" s="65" t="s">
        <v>40</v>
      </c>
      <c r="E429" s="67" t="s">
        <v>332</v>
      </c>
      <c r="F429" s="65" t="s">
        <v>188</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4"/>
        <v>1.0125</v>
      </c>
      <c r="K429" s="190">
        <f>SUMIFS(Table1[Horas efetivas],Table1[Tabela],Plano_V3!E429,Table1[Campo],Plano_V3!F429)</f>
        <v>2.0249999999999999</v>
      </c>
      <c r="L429" s="190">
        <f t="shared" si="65"/>
        <v>0.25312499999999999</v>
      </c>
      <c r="M429" s="184"/>
      <c r="N429" s="184">
        <f t="shared" si="66"/>
        <v>0.25</v>
      </c>
      <c r="O429" s="184">
        <f t="shared" si="67"/>
        <v>0.25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x14ac:dyDescent="0.4">
      <c r="A430" s="30" t="str">
        <f t="shared" si="69"/>
        <v>modesg_out_emss_vclsorigem_scp1_emss</v>
      </c>
      <c r="B430" s="68" t="s">
        <v>26</v>
      </c>
      <c r="C430" s="69" t="s">
        <v>311</v>
      </c>
      <c r="D430" s="65" t="s">
        <v>40</v>
      </c>
      <c r="E430" s="67" t="s">
        <v>332</v>
      </c>
      <c r="F430" s="65" t="s">
        <v>320</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x14ac:dyDescent="0.4">
      <c r="A431" s="30" t="str">
        <f t="shared" si="69"/>
        <v>modesg_out_emss_vclsorigem_scp2_emss</v>
      </c>
      <c r="B431" s="68" t="s">
        <v>26</v>
      </c>
      <c r="C431" s="69" t="s">
        <v>311</v>
      </c>
      <c r="D431" s="65" t="s">
        <v>40</v>
      </c>
      <c r="E431" s="67" t="s">
        <v>332</v>
      </c>
      <c r="F431" s="65" t="s">
        <v>321</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x14ac:dyDescent="0.4">
      <c r="A432" s="30" t="str">
        <f t="shared" si="69"/>
        <v>modesg_out_emss_vclsorigem_scp3_emss</v>
      </c>
      <c r="B432" s="68" t="s">
        <v>26</v>
      </c>
      <c r="C432" s="69" t="s">
        <v>311</v>
      </c>
      <c r="D432" s="65" t="s">
        <v>40</v>
      </c>
      <c r="E432" s="67" t="s">
        <v>332</v>
      </c>
      <c r="F432" s="65" t="s">
        <v>322</v>
      </c>
      <c r="G432" s="65" t="str">
        <f>INDEX(Auxiliar!$B$16:$B$24,MATCH(Plano_V3!H432,Auxiliar!$C$16:$C$24,0),1)</f>
        <v>6. Em implementação (re-especificação)</v>
      </c>
      <c r="H432" s="65">
        <f>VLOOKUP(A432,'Aux - pivots1'!$A:$B,2,0)</f>
        <v>7</v>
      </c>
      <c r="I432" s="190">
        <f>SUMIFS(Table1[Estimação (horas)],Table1[Tabela],Plano_V3!E432,Table1[Campo],Plano_V3!F432)</f>
        <v>8.1</v>
      </c>
      <c r="J432" s="190">
        <f t="shared" si="64"/>
        <v>1.0125</v>
      </c>
      <c r="K432" s="190">
        <f>SUMIFS(Table1[Horas efetivas],Table1[Tabela],Plano_V3!E432,Table1[Campo],Plano_V3!F432)</f>
        <v>2.0249999999999999</v>
      </c>
      <c r="L432" s="190">
        <f t="shared" si="65"/>
        <v>0.25312499999999999</v>
      </c>
      <c r="M432" s="184"/>
      <c r="N432" s="184">
        <f t="shared" si="66"/>
        <v>0.25</v>
      </c>
      <c r="O432" s="184">
        <f t="shared" si="67"/>
        <v>0.25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x14ac:dyDescent="0.4">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x14ac:dyDescent="0.4">
      <c r="A434" s="30" t="str">
        <f t="shared" si="69"/>
        <v>modesg_out_emss_vclsscp1_emss</v>
      </c>
      <c r="B434" s="68" t="s">
        <v>26</v>
      </c>
      <c r="C434" s="69" t="s">
        <v>311</v>
      </c>
      <c r="D434" s="65" t="s">
        <v>40</v>
      </c>
      <c r="E434" s="67" t="s">
        <v>332</v>
      </c>
      <c r="F434" s="65" t="s">
        <v>286</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x14ac:dyDescent="0.4">
      <c r="A435" s="30" t="str">
        <f t="shared" si="69"/>
        <v>modesg_out_emss_vclsscp2_emss</v>
      </c>
      <c r="B435" s="68" t="s">
        <v>26</v>
      </c>
      <c r="C435" s="69" t="s">
        <v>311</v>
      </c>
      <c r="D435" s="65" t="s">
        <v>40</v>
      </c>
      <c r="E435" s="67" t="s">
        <v>332</v>
      </c>
      <c r="F435" s="65" t="s">
        <v>287</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x14ac:dyDescent="0.4">
      <c r="A436" s="30" t="str">
        <f t="shared" si="69"/>
        <v>modesg_out_emss_vclsscp3_emss</v>
      </c>
      <c r="B436" s="68" t="s">
        <v>26</v>
      </c>
      <c r="C436" s="69" t="s">
        <v>311</v>
      </c>
      <c r="D436" s="65" t="s">
        <v>40</v>
      </c>
      <c r="E436" s="67" t="s">
        <v>332</v>
      </c>
      <c r="F436" s="65" t="s">
        <v>288</v>
      </c>
      <c r="G436" s="65" t="str">
        <f>INDEX(Auxiliar!$B$16:$B$24,MATCH(Plano_V3!H436,Auxiliar!$C$16:$C$24,0),1)</f>
        <v>6. Em implementação (re-especificação)</v>
      </c>
      <c r="H436" s="65">
        <f>VLOOKUP(A436,'Aux - pivots1'!$A:$B,2,0)</f>
        <v>7</v>
      </c>
      <c r="I436" s="190">
        <f>SUMIFS(Table1[Estimação (horas)],Table1[Tabela],Plano_V3!E436,Table1[Campo],Plano_V3!F436)</f>
        <v>16.100000000000001</v>
      </c>
      <c r="J436" s="190">
        <f t="shared" ref="J436:J454" si="70">I436/8</f>
        <v>2.0125000000000002</v>
      </c>
      <c r="K436" s="190">
        <f>SUMIFS(Table1[Horas efetivas],Table1[Tabela],Plano_V3!E436,Table1[Campo],Plano_V3!F436)</f>
        <v>4.0250000000000004</v>
      </c>
      <c r="L436" s="190">
        <f t="shared" ref="L436:L454" si="71">K436/8</f>
        <v>0.50312500000000004</v>
      </c>
      <c r="M436" s="184"/>
      <c r="N436" s="184">
        <f t="shared" ref="N436:N455" si="72">L436/J436</f>
        <v>0.25</v>
      </c>
      <c r="O436" s="184">
        <f t="shared" si="67"/>
        <v>0.25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x14ac:dyDescent="0.4">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x14ac:dyDescent="0.4">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x14ac:dyDescent="0.4">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x14ac:dyDescent="0.4">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x14ac:dyDescent="0.4">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x14ac:dyDescent="0.4">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x14ac:dyDescent="0.4">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x14ac:dyDescent="0.4">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x14ac:dyDescent="0.4">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x14ac:dyDescent="0.4">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x14ac:dyDescent="0.4">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x14ac:dyDescent="0.4">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x14ac:dyDescent="0.4">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x14ac:dyDescent="0.4">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x14ac:dyDescent="0.4">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x14ac:dyDescent="0.4">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x14ac:dyDescent="0.4">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x14ac:dyDescent="0.4">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x14ac:dyDescent="0.4">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31.815625000000022</v>
      </c>
      <c r="L455" s="190">
        <f>K455/8</f>
        <v>3.9769531250000028</v>
      </c>
      <c r="M455" s="184"/>
      <c r="N455" s="184">
        <f t="shared" si="72"/>
        <v>0.35954937138013809</v>
      </c>
      <c r="O455" s="184">
        <f t="shared" si="67"/>
        <v>0.35954937138013809</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x14ac:dyDescent="0.4">
      <c r="A456" s="30" t="str">
        <f t="shared" si="69"/>
        <v/>
      </c>
      <c r="B456" s="102" t="s">
        <v>26</v>
      </c>
      <c r="C456" s="103" t="s">
        <v>30</v>
      </c>
      <c r="D456" s="97"/>
      <c r="E456" s="104"/>
      <c r="F456" s="97"/>
      <c r="G456" s="97"/>
      <c r="H456" s="97"/>
      <c r="I456" s="189">
        <f>SUM(I457:I592)</f>
        <v>377.63750000000158</v>
      </c>
      <c r="J456" s="189">
        <f>ROUNDUP(I456/8,0)</f>
        <v>48</v>
      </c>
      <c r="K456" s="189">
        <f>SUM(K457:K592)</f>
        <v>139.63437499999975</v>
      </c>
      <c r="L456" s="189">
        <f>ROUNDUP(K456/8,0)</f>
        <v>18</v>
      </c>
      <c r="M456" s="188">
        <f>SUMIFS(R456:ES456,$R$9:$ES$9,"S")/J456</f>
        <v>6.25E-2</v>
      </c>
      <c r="N456" s="188">
        <f>IFERROR(L456/J456,0)</f>
        <v>0.375</v>
      </c>
      <c r="O456" s="188">
        <f t="shared" si="67"/>
        <v>0.3125</v>
      </c>
      <c r="P456" s="196" t="s">
        <v>1942</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x14ac:dyDescent="0.4">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x14ac:dyDescent="0.4">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x14ac:dyDescent="0.4">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x14ac:dyDescent="0.4">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x14ac:dyDescent="0.4">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x14ac:dyDescent="0.4">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x14ac:dyDescent="0.4">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x14ac:dyDescent="0.4">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x14ac:dyDescent="0.4">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x14ac:dyDescent="0.4">
      <c r="A466" s="30" t="str">
        <f t="shared" si="69"/>
        <v>lt003_entitypure_capex_cca</v>
      </c>
      <c r="B466" s="68" t="s">
        <v>26</v>
      </c>
      <c r="C466" s="69" t="s">
        <v>26</v>
      </c>
      <c r="D466" s="65" t="s">
        <v>40</v>
      </c>
      <c r="E466" s="71" t="s">
        <v>336</v>
      </c>
      <c r="F466" s="72" t="s">
        <v>347</v>
      </c>
      <c r="G466" s="65" t="str">
        <f>INDEX(Auxiliar!$B$16:$B$24,MATCH(Plano_V3!H466,Auxiliar!$C$16:$C$24,0),1)</f>
        <v>6. Em implementação (re-especificação)</v>
      </c>
      <c r="H466" s="65">
        <f>VLOOKUP(A466,'Aux - pivots1'!$A:$B,2,0)</f>
        <v>7</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x14ac:dyDescent="0.4">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x14ac:dyDescent="0.4">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x14ac:dyDescent="0.4">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x14ac:dyDescent="0.4">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x14ac:dyDescent="0.4">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x14ac:dyDescent="0.4">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x14ac:dyDescent="0.4">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x14ac:dyDescent="0.4">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x14ac:dyDescent="0.4">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x14ac:dyDescent="0.4">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x14ac:dyDescent="0.4">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x14ac:dyDescent="0.4">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x14ac:dyDescent="0.4">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x14ac:dyDescent="0.4">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x14ac:dyDescent="0.4">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x14ac:dyDescent="0.4">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x14ac:dyDescent="0.4">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x14ac:dyDescent="0.4">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x14ac:dyDescent="0.4">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x14ac:dyDescent="0.4">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x14ac:dyDescent="0.4">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x14ac:dyDescent="0.4">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x14ac:dyDescent="0.25">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x14ac:dyDescent="0.25">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x14ac:dyDescent="0.25">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x14ac:dyDescent="0.25">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x14ac:dyDescent="0.25">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x14ac:dyDescent="0.25">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x14ac:dyDescent="0.25">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x14ac:dyDescent="0.25">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x14ac:dyDescent="0.25">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x14ac:dyDescent="0.25">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x14ac:dyDescent="0.25">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x14ac:dyDescent="0.25">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x14ac:dyDescent="0.25">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x14ac:dyDescent="0.25">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x14ac:dyDescent="0.25">
      <c r="A503" s="30" t="str">
        <f t="shared" si="76"/>
        <v>lt007_instr_activityenvrnmntl_objctv</v>
      </c>
      <c r="B503" s="68" t="s">
        <v>26</v>
      </c>
      <c r="C503" s="69" t="s">
        <v>26</v>
      </c>
      <c r="D503" s="65" t="s">
        <v>40</v>
      </c>
      <c r="E503" s="71" t="s">
        <v>1965</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x14ac:dyDescent="0.25">
      <c r="A504" s="30" t="str">
        <f t="shared" si="76"/>
        <v>lt007_instr_activitytyp_actvty</v>
      </c>
      <c r="B504" s="68" t="s">
        <v>26</v>
      </c>
      <c r="C504" s="69" t="s">
        <v>26</v>
      </c>
      <c r="D504" s="65" t="s">
        <v>40</v>
      </c>
      <c r="E504" s="71" t="s">
        <v>1965</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x14ac:dyDescent="0.25">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x14ac:dyDescent="0.25">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x14ac:dyDescent="0.25">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x14ac:dyDescent="0.25">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x14ac:dyDescent="0.25">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x14ac:dyDescent="0.25">
      <c r="A510" s="30" t="str">
        <f t="shared" si="76"/>
        <v>lt827_mthd_usd_instrmntambito</v>
      </c>
      <c r="B510" s="68" t="s">
        <v>26</v>
      </c>
      <c r="C510" s="69" t="s">
        <v>26</v>
      </c>
      <c r="D510" s="65" t="s">
        <v>40</v>
      </c>
      <c r="E510" s="71" t="s">
        <v>1966</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x14ac:dyDescent="0.25">
      <c r="A511" s="30" t="str">
        <f t="shared" si="76"/>
        <v>lt827_mthd_usd_instrmntref_date</v>
      </c>
      <c r="B511" s="68" t="s">
        <v>26</v>
      </c>
      <c r="C511" s="69" t="s">
        <v>26</v>
      </c>
      <c r="D511" s="65" t="s">
        <v>40</v>
      </c>
      <c r="E511" s="71" t="s">
        <v>1966</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x14ac:dyDescent="0.25">
      <c r="A512" s="30" t="str">
        <f t="shared" si="76"/>
        <v>lt827_mthd_usd_instrmntordem</v>
      </c>
      <c r="B512" s="68" t="s">
        <v>26</v>
      </c>
      <c r="C512" s="69" t="s">
        <v>26</v>
      </c>
      <c r="D512" s="65" t="s">
        <v>40</v>
      </c>
      <c r="E512" s="71" t="s">
        <v>1966</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x14ac:dyDescent="0.25">
      <c r="A513" s="30" t="str">
        <f t="shared" si="76"/>
        <v>lt827_mthd_usd_instrmnttabela</v>
      </c>
      <c r="B513" s="68" t="s">
        <v>26</v>
      </c>
      <c r="C513" s="69" t="s">
        <v>26</v>
      </c>
      <c r="D513" s="65" t="s">
        <v>40</v>
      </c>
      <c r="E513" s="71" t="s">
        <v>1966</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x14ac:dyDescent="0.25">
      <c r="A514" s="30" t="str">
        <f t="shared" si="76"/>
        <v>lt827_mthd_usd_instrmntorigem_scp1_emss</v>
      </c>
      <c r="B514" s="68" t="s">
        <v>26</v>
      </c>
      <c r="C514" s="69" t="s">
        <v>26</v>
      </c>
      <c r="D514" s="65" t="s">
        <v>40</v>
      </c>
      <c r="E514" s="71" t="s">
        <v>1966</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x14ac:dyDescent="0.25">
      <c r="A515" s="30" t="str">
        <f t="shared" si="76"/>
        <v>lt827_mthd_usd_instrmntorigem_scp2_emss</v>
      </c>
      <c r="B515" s="68" t="s">
        <v>26</v>
      </c>
      <c r="C515" s="69" t="s">
        <v>26</v>
      </c>
      <c r="D515" s="65" t="s">
        <v>40</v>
      </c>
      <c r="E515" s="71" t="s">
        <v>1966</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x14ac:dyDescent="0.25">
      <c r="A516" s="30" t="str">
        <f t="shared" si="76"/>
        <v>lt827_mthd_usd_instrmntorigem_scp3_emss</v>
      </c>
      <c r="B516" s="68" t="s">
        <v>26</v>
      </c>
      <c r="C516" s="69" t="s">
        <v>26</v>
      </c>
      <c r="D516" s="65" t="s">
        <v>40</v>
      </c>
      <c r="E516" s="71" t="s">
        <v>1966</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x14ac:dyDescent="0.25">
      <c r="A517" s="30" t="str">
        <f t="shared" si="76"/>
        <v>lt827_mthd_usd_instrmntmthd_usd_instrmnt_scp_1</v>
      </c>
      <c r="B517" s="68" t="s">
        <v>26</v>
      </c>
      <c r="C517" s="69" t="s">
        <v>26</v>
      </c>
      <c r="D517" s="65" t="s">
        <v>40</v>
      </c>
      <c r="E517" s="71" t="s">
        <v>1966</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x14ac:dyDescent="0.25">
      <c r="A518" s="30" t="str">
        <f t="shared" si="76"/>
        <v>lt827_mthd_usd_instrmntmthd_usd_instrmnt_scp_2</v>
      </c>
      <c r="B518" s="68" t="s">
        <v>26</v>
      </c>
      <c r="C518" s="69" t="s">
        <v>26</v>
      </c>
      <c r="D518" s="65" t="s">
        <v>40</v>
      </c>
      <c r="E518" s="71" t="s">
        <v>1966</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x14ac:dyDescent="0.25">
      <c r="A519" s="30" t="str">
        <f t="shared" si="76"/>
        <v>lt827_mthd_usd_instrmntmthd_usd_instrmnt_scp_3</v>
      </c>
      <c r="B519" s="68" t="s">
        <v>26</v>
      </c>
      <c r="C519" s="69" t="s">
        <v>26</v>
      </c>
      <c r="D519" s="65" t="s">
        <v>40</v>
      </c>
      <c r="E519" s="71" t="s">
        <v>1966</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x14ac:dyDescent="0.25">
      <c r="A520" s="30" t="str">
        <f t="shared" si="76"/>
        <v>lt827_mthd_usd_instrmntpurpose_code</v>
      </c>
      <c r="B520" s="68"/>
      <c r="C520" s="69"/>
      <c r="D520" s="65" t="s">
        <v>40</v>
      </c>
      <c r="E520" s="71" t="s">
        <v>1966</v>
      </c>
      <c r="F520" s="72" t="s">
        <v>1944</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x14ac:dyDescent="0.25">
      <c r="A521" s="30" t="str">
        <f t="shared" si="76"/>
        <v>lt827_mthd_usd_instrmntflg_fin</v>
      </c>
      <c r="B521" s="68"/>
      <c r="C521" s="69"/>
      <c r="D521" s="65" t="s">
        <v>40</v>
      </c>
      <c r="E521" s="71" t="s">
        <v>1966</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x14ac:dyDescent="0.25">
      <c r="A522" s="30" t="str">
        <f t="shared" si="76"/>
        <v>lt827_mthd_usd_instrmntflg_exec</v>
      </c>
      <c r="B522" s="68"/>
      <c r="C522" s="69"/>
      <c r="D522" s="65" t="s">
        <v>40</v>
      </c>
      <c r="E522" s="71" t="s">
        <v>1966</v>
      </c>
      <c r="F522" s="72" t="s">
        <v>1364</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x14ac:dyDescent="0.25">
      <c r="A523" s="30" t="str">
        <f t="shared" si="76"/>
        <v>lt827_mthd_usd_instrmntflg_col</v>
      </c>
      <c r="B523" s="68"/>
      <c r="C523" s="69"/>
      <c r="D523" s="65" t="s">
        <v>40</v>
      </c>
      <c r="E523" s="71" t="s">
        <v>1966</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x14ac:dyDescent="0.25">
      <c r="A524" s="30" t="str">
        <f t="shared" si="76"/>
        <v>lt827_mthd_usd_instrmntflg_pro</v>
      </c>
      <c r="B524" s="68"/>
      <c r="C524" s="69"/>
      <c r="D524" s="65" t="s">
        <v>40</v>
      </c>
      <c r="E524" s="71" t="s">
        <v>1966</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x14ac:dyDescent="0.25">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x14ac:dyDescent="0.25">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x14ac:dyDescent="0.25">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x14ac:dyDescent="0.25">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x14ac:dyDescent="0.25">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x14ac:dyDescent="0.25">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x14ac:dyDescent="0.25">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x14ac:dyDescent="0.25">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x14ac:dyDescent="0.25">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x14ac:dyDescent="0.25">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x14ac:dyDescent="0.25">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x14ac:dyDescent="0.25">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x14ac:dyDescent="0.25">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x14ac:dyDescent="0.25">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x14ac:dyDescent="0.25">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x14ac:dyDescent="0.25">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x14ac:dyDescent="0.25">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x14ac:dyDescent="0.25">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x14ac:dyDescent="0.25">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x14ac:dyDescent="0.25">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x14ac:dyDescent="0.25">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x14ac:dyDescent="0.25">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x14ac:dyDescent="0.25">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x14ac:dyDescent="0.25">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x14ac:dyDescent="0.25">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x14ac:dyDescent="0.25">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x14ac:dyDescent="0.25">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x14ac:dyDescent="0.25">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x14ac:dyDescent="0.25">
      <c r="A553" s="30" t="str">
        <f t="shared" si="76"/>
        <v>lt007_instr_activitysstnbl_indctr</v>
      </c>
      <c r="B553" s="68" t="s">
        <v>26</v>
      </c>
      <c r="C553" s="69" t="s">
        <v>26</v>
      </c>
      <c r="D553" s="65" t="s">
        <v>40</v>
      </c>
      <c r="E553" s="71" t="s">
        <v>1965</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x14ac:dyDescent="0.25">
      <c r="A554" s="30" t="str">
        <f t="shared" si="76"/>
        <v>lt007_instr_activitysstnbl_ctgry</v>
      </c>
      <c r="B554" s="68" t="s">
        <v>26</v>
      </c>
      <c r="C554" s="69" t="s">
        <v>26</v>
      </c>
      <c r="D554" s="65" t="s">
        <v>40</v>
      </c>
      <c r="E554" s="71" t="s">
        <v>1965</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x14ac:dyDescent="0.25">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x14ac:dyDescent="0.25">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x14ac:dyDescent="0.25">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x14ac:dyDescent="0.25">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x14ac:dyDescent="0.25">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x14ac:dyDescent="0.25">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x14ac:dyDescent="0.25">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x14ac:dyDescent="0.25">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x14ac:dyDescent="0.25">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x14ac:dyDescent="0.25">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x14ac:dyDescent="0.25">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x14ac:dyDescent="0.25">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x14ac:dyDescent="0.25">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x14ac:dyDescent="0.25">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x14ac:dyDescent="0.25">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x14ac:dyDescent="0.25">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x14ac:dyDescent="0.25">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x14ac:dyDescent="0.25">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x14ac:dyDescent="0.25">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x14ac:dyDescent="0.25">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x14ac:dyDescent="0.25">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x14ac:dyDescent="0.25">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x14ac:dyDescent="0.25">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x14ac:dyDescent="0.25">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x14ac:dyDescent="0.25">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x14ac:dyDescent="0.25">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x14ac:dyDescent="0.25">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x14ac:dyDescent="0.25">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x14ac:dyDescent="0.25">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x14ac:dyDescent="0.25">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x14ac:dyDescent="0.25">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x14ac:dyDescent="0.25">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x14ac:dyDescent="0.25">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x14ac:dyDescent="0.25">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x14ac:dyDescent="0.25">
      <c r="A589" s="30" t="str">
        <f t="shared" si="76"/>
        <v>lt004_protectionflg_exec</v>
      </c>
      <c r="B589" s="68"/>
      <c r="C589" s="69"/>
      <c r="D589" s="65" t="s">
        <v>40</v>
      </c>
      <c r="E589" s="71" t="s">
        <v>369</v>
      </c>
      <c r="F589" s="72" t="s">
        <v>1364</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x14ac:dyDescent="0.25">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x14ac:dyDescent="0.25">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x14ac:dyDescent="0.25">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15.059374999999971</v>
      </c>
      <c r="L592" s="182">
        <f>K592/8</f>
        <v>1.8824218749999964</v>
      </c>
      <c r="M592" s="184"/>
      <c r="N592" s="184">
        <f t="shared" si="82"/>
        <v>0.37519464341326464</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x14ac:dyDescent="0.45">
      <c r="D593" s="12"/>
      <c r="O593"/>
      <c r="AY593" t="s">
        <v>444</v>
      </c>
    </row>
    <row r="594" spans="2:51" x14ac:dyDescent="0.25">
      <c r="B594" s="83" t="s">
        <v>445</v>
      </c>
      <c r="C594" s="84"/>
      <c r="D594" s="84"/>
      <c r="E594" s="84"/>
      <c r="F594" s="84"/>
      <c r="G594" s="84"/>
      <c r="H594" s="84"/>
      <c r="I594" s="186"/>
      <c r="J594" s="186">
        <f>J24+J19+J14</f>
        <v>314</v>
      </c>
      <c r="K594" s="186"/>
      <c r="L594" s="186">
        <f>L24+L19+L14</f>
        <v>203.85</v>
      </c>
      <c r="M594" s="181">
        <f>((M24*J24)+(M19*J19)+(M14*J14))/J594</f>
        <v>0.62261146496815289</v>
      </c>
      <c r="N594" s="181">
        <f>((N24*L24)+(N19*L19)+(N14*L14))/L594</f>
        <v>0.7401938613369653</v>
      </c>
      <c r="O594" s="181">
        <f t="shared" ref="O594" si="85">N594-M594</f>
        <v>0.1175823963688124</v>
      </c>
      <c r="P594" s="183" t="s">
        <v>25</v>
      </c>
    </row>
    <row r="595" spans="2:51" x14ac:dyDescent="0.45">
      <c r="O595"/>
    </row>
    <row r="596" spans="2:51" x14ac:dyDescent="0.45"/>
  </sheetData>
  <conditionalFormatting sqref="O14:O17 O19:O22 O594">
    <cfRule type="cellIs" dxfId="108" priority="23" operator="lessThan">
      <formula>0</formula>
    </cfRule>
    <cfRule type="cellIs" dxfId="107" priority="24" operator="greaterThanOrEqual">
      <formula>0</formula>
    </cfRule>
  </conditionalFormatting>
  <conditionalFormatting sqref="O24:O592">
    <cfRule type="cellIs" dxfId="106" priority="1" operator="lessThan">
      <formula>0</formula>
    </cfRule>
    <cfRule type="cellIs" dxfId="105" priority="2" operator="greaterThanOrEqual">
      <formula>0</formula>
    </cfRule>
  </conditionalFormatting>
  <conditionalFormatting sqref="Q15:Q17">
    <cfRule type="cellIs" dxfId="104" priority="50" operator="notEqual">
      <formula>0</formula>
    </cfRule>
  </conditionalFormatting>
  <conditionalFormatting sqref="Q20:Q22">
    <cfRule type="cellIs" dxfId="103" priority="42" operator="notEqual">
      <formula>0</formula>
    </cfRule>
  </conditionalFormatting>
  <conditionalFormatting sqref="Q25:Q456">
    <cfRule type="cellIs" dxfId="102" priority="5" operator="notEqual">
      <formula>0</formula>
    </cfRule>
  </conditionalFormatting>
  <conditionalFormatting sqref="R5:R6 S6:ES6">
    <cfRule type="cellIs" dxfId="101" priority="51" operator="notEqual">
      <formula>0</formula>
    </cfRule>
  </conditionalFormatting>
  <conditionalFormatting sqref="R15:ES17 R20:ES22 R25:ES25">
    <cfRule type="cellIs" dxfId="100" priority="49" operator="greaterThan">
      <formula>0</formula>
    </cfRule>
  </conditionalFormatting>
  <conditionalFormatting sqref="R40:ES40">
    <cfRule type="cellIs" dxfId="99" priority="47" operator="greaterThan">
      <formula>0</formula>
    </cfRule>
  </conditionalFormatting>
  <conditionalFormatting sqref="R204:ES204">
    <cfRule type="cellIs" dxfId="98" priority="46" operator="greaterThan">
      <formula>0</formula>
    </cfRule>
  </conditionalFormatting>
  <conditionalFormatting sqref="R371:ES371">
    <cfRule type="cellIs" dxfId="97" priority="45" operator="greaterThan">
      <formula>0</formula>
    </cfRule>
  </conditionalFormatting>
  <conditionalFormatting sqref="R456:ES456">
    <cfRule type="cellIs" dxfId="96"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3" sqref="A3"/>
    </sheetView>
  </sheetViews>
  <sheetFormatPr defaultRowHeight="13.8" x14ac:dyDescent="0.25"/>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0" t="s">
        <v>674</v>
      </c>
      <c r="B3" t="s">
        <v>675</v>
      </c>
      <c r="C3" t="s">
        <v>676</v>
      </c>
      <c r="D3" t="s">
        <v>677</v>
      </c>
      <c r="E3" t="s">
        <v>678</v>
      </c>
    </row>
    <row r="4" spans="1:5" x14ac:dyDescent="0.25">
      <c r="A4" t="s">
        <v>679</v>
      </c>
      <c r="B4">
        <v>7</v>
      </c>
      <c r="C4" s="175">
        <v>45510</v>
      </c>
      <c r="D4" s="175">
        <v>45624</v>
      </c>
    </row>
    <row r="5" spans="1:5" x14ac:dyDescent="0.25">
      <c r="A5" t="s">
        <v>680</v>
      </c>
      <c r="B5">
        <v>7</v>
      </c>
      <c r="C5" s="175">
        <v>45510</v>
      </c>
      <c r="D5" s="175">
        <v>45624</v>
      </c>
    </row>
    <row r="6" spans="1:5" x14ac:dyDescent="0.25">
      <c r="A6" t="s">
        <v>681</v>
      </c>
      <c r="B6">
        <v>7</v>
      </c>
      <c r="C6" s="175">
        <v>45510</v>
      </c>
      <c r="D6" s="175">
        <v>45624</v>
      </c>
    </row>
    <row r="7" spans="1:5" x14ac:dyDescent="0.25">
      <c r="A7" t="s">
        <v>682</v>
      </c>
      <c r="B7">
        <v>7</v>
      </c>
      <c r="C7" s="175">
        <v>45510</v>
      </c>
      <c r="D7" s="175">
        <v>45624</v>
      </c>
    </row>
    <row r="8" spans="1:5" x14ac:dyDescent="0.25">
      <c r="A8" t="s">
        <v>683</v>
      </c>
      <c r="B8">
        <v>7</v>
      </c>
      <c r="C8" s="175">
        <v>45510</v>
      </c>
      <c r="D8" s="175">
        <v>45624</v>
      </c>
    </row>
    <row r="9" spans="1:5" x14ac:dyDescent="0.25">
      <c r="A9" t="s">
        <v>684</v>
      </c>
      <c r="B9">
        <v>7</v>
      </c>
      <c r="C9" s="175">
        <v>45510</v>
      </c>
      <c r="D9" s="175">
        <v>45624</v>
      </c>
    </row>
    <row r="10" spans="1:5" x14ac:dyDescent="0.25">
      <c r="A10" t="s">
        <v>685</v>
      </c>
      <c r="B10">
        <v>7</v>
      </c>
      <c r="C10" s="175">
        <v>45510</v>
      </c>
      <c r="D10" s="175">
        <v>45624</v>
      </c>
    </row>
    <row r="11" spans="1:5" x14ac:dyDescent="0.25">
      <c r="A11" t="s">
        <v>686</v>
      </c>
      <c r="B11">
        <v>7</v>
      </c>
      <c r="C11" s="175">
        <v>45510</v>
      </c>
      <c r="D11" s="175">
        <v>45624</v>
      </c>
    </row>
    <row r="12" spans="1:5" x14ac:dyDescent="0.25">
      <c r="A12" t="s">
        <v>687</v>
      </c>
      <c r="B12">
        <v>7</v>
      </c>
      <c r="C12" s="175">
        <v>45510</v>
      </c>
      <c r="D12" s="175">
        <v>45624</v>
      </c>
    </row>
    <row r="13" spans="1:5" x14ac:dyDescent="0.25">
      <c r="A13" t="s">
        <v>688</v>
      </c>
      <c r="B13">
        <v>7</v>
      </c>
      <c r="C13" s="175">
        <v>45510</v>
      </c>
      <c r="D13" s="175">
        <v>45624</v>
      </c>
    </row>
    <row r="14" spans="1:5" x14ac:dyDescent="0.25">
      <c r="A14" t="s">
        <v>689</v>
      </c>
      <c r="B14">
        <v>7</v>
      </c>
      <c r="C14" s="175">
        <v>45510</v>
      </c>
      <c r="D14" s="175">
        <v>45624</v>
      </c>
    </row>
    <row r="15" spans="1:5" x14ac:dyDescent="0.25">
      <c r="A15" t="s">
        <v>690</v>
      </c>
      <c r="B15">
        <v>7</v>
      </c>
      <c r="C15" s="175">
        <v>45510</v>
      </c>
      <c r="D15" s="175">
        <v>45624</v>
      </c>
    </row>
    <row r="16" spans="1:5" x14ac:dyDescent="0.25">
      <c r="A16" t="s">
        <v>691</v>
      </c>
      <c r="B16">
        <v>7</v>
      </c>
      <c r="C16" s="175">
        <v>45510</v>
      </c>
      <c r="D16" s="175">
        <v>45624</v>
      </c>
    </row>
    <row r="17" spans="1:2" x14ac:dyDescent="0.25">
      <c r="A17" t="s">
        <v>692</v>
      </c>
      <c r="B17">
        <v>1</v>
      </c>
    </row>
    <row r="18" spans="1:2" x14ac:dyDescent="0.25">
      <c r="A18" t="s">
        <v>693</v>
      </c>
      <c r="B18">
        <v>1</v>
      </c>
    </row>
    <row r="19" spans="1:2" x14ac:dyDescent="0.25">
      <c r="A19" t="s">
        <v>694</v>
      </c>
      <c r="B19">
        <v>1</v>
      </c>
    </row>
    <row r="20" spans="1:2" x14ac:dyDescent="0.25">
      <c r="A20" t="s">
        <v>695</v>
      </c>
      <c r="B20">
        <v>1</v>
      </c>
    </row>
    <row r="21" spans="1:2" x14ac:dyDescent="0.25">
      <c r="A21" t="s">
        <v>696</v>
      </c>
      <c r="B21">
        <v>1</v>
      </c>
    </row>
    <row r="22" spans="1:2" x14ac:dyDescent="0.25">
      <c r="A22" t="s">
        <v>697</v>
      </c>
      <c r="B22">
        <v>1</v>
      </c>
    </row>
    <row r="23" spans="1:2" x14ac:dyDescent="0.25">
      <c r="A23" t="s">
        <v>698</v>
      </c>
      <c r="B23">
        <v>1</v>
      </c>
    </row>
    <row r="24" spans="1:2" x14ac:dyDescent="0.25">
      <c r="A24" t="s">
        <v>699</v>
      </c>
      <c r="B24">
        <v>1</v>
      </c>
    </row>
    <row r="25" spans="1:2" x14ac:dyDescent="0.25">
      <c r="A25" t="s">
        <v>700</v>
      </c>
      <c r="B25">
        <v>2</v>
      </c>
    </row>
    <row r="26" spans="1:2" x14ac:dyDescent="0.25">
      <c r="A26" t="s">
        <v>701</v>
      </c>
      <c r="B26">
        <v>2</v>
      </c>
    </row>
    <row r="27" spans="1:2" x14ac:dyDescent="0.25">
      <c r="A27" t="s">
        <v>702</v>
      </c>
      <c r="B27">
        <v>1</v>
      </c>
    </row>
    <row r="28" spans="1:2" x14ac:dyDescent="0.25">
      <c r="A28" t="s">
        <v>703</v>
      </c>
      <c r="B28">
        <v>2</v>
      </c>
    </row>
    <row r="29" spans="1:2" x14ac:dyDescent="0.25">
      <c r="A29" t="s">
        <v>704</v>
      </c>
      <c r="B29">
        <v>1</v>
      </c>
    </row>
    <row r="30" spans="1:2" x14ac:dyDescent="0.25">
      <c r="A30" t="s">
        <v>705</v>
      </c>
      <c r="B30">
        <v>1</v>
      </c>
    </row>
    <row r="31" spans="1:2" x14ac:dyDescent="0.25">
      <c r="A31" t="s">
        <v>706</v>
      </c>
      <c r="B31">
        <v>1</v>
      </c>
    </row>
    <row r="32" spans="1:2" x14ac:dyDescent="0.25">
      <c r="A32" t="s">
        <v>707</v>
      </c>
      <c r="B32">
        <v>1</v>
      </c>
    </row>
    <row r="33" spans="1:5" x14ac:dyDescent="0.25">
      <c r="A33" t="s">
        <v>708</v>
      </c>
      <c r="B33">
        <v>1</v>
      </c>
    </row>
    <row r="34" spans="1:5" x14ac:dyDescent="0.25">
      <c r="A34" t="s">
        <v>709</v>
      </c>
      <c r="B34">
        <v>1</v>
      </c>
    </row>
    <row r="35" spans="1:5" x14ac:dyDescent="0.25">
      <c r="A35" t="s">
        <v>710</v>
      </c>
      <c r="B35">
        <v>1</v>
      </c>
      <c r="C35" s="175">
        <v>45583</v>
      </c>
      <c r="D35" s="175">
        <v>45589</v>
      </c>
      <c r="E35" s="175">
        <v>45589</v>
      </c>
    </row>
    <row r="36" spans="1:5" x14ac:dyDescent="0.25">
      <c r="A36" t="s">
        <v>711</v>
      </c>
      <c r="B36">
        <v>7</v>
      </c>
      <c r="C36" s="175">
        <v>45593</v>
      </c>
      <c r="D36" s="175">
        <v>45611</v>
      </c>
    </row>
    <row r="37" spans="1:5" x14ac:dyDescent="0.25">
      <c r="A37" t="s">
        <v>712</v>
      </c>
      <c r="B37">
        <v>7</v>
      </c>
      <c r="C37" s="175">
        <v>45593</v>
      </c>
      <c r="D37" s="175">
        <v>45611</v>
      </c>
    </row>
    <row r="38" spans="1:5" x14ac:dyDescent="0.25">
      <c r="A38" t="s">
        <v>713</v>
      </c>
      <c r="B38">
        <v>7</v>
      </c>
      <c r="C38" s="175">
        <v>45593</v>
      </c>
      <c r="D38" s="175">
        <v>45611</v>
      </c>
    </row>
    <row r="39" spans="1:5" x14ac:dyDescent="0.25">
      <c r="A39" t="s">
        <v>714</v>
      </c>
      <c r="B39">
        <v>1</v>
      </c>
    </row>
    <row r="40" spans="1:5" x14ac:dyDescent="0.25">
      <c r="A40" t="s">
        <v>715</v>
      </c>
      <c r="B40">
        <v>1</v>
      </c>
    </row>
    <row r="41" spans="1:5" x14ac:dyDescent="0.25">
      <c r="A41" t="s">
        <v>716</v>
      </c>
      <c r="B41">
        <v>1</v>
      </c>
    </row>
    <row r="42" spans="1:5" x14ac:dyDescent="0.25">
      <c r="A42" t="s">
        <v>717</v>
      </c>
      <c r="B42">
        <v>7</v>
      </c>
      <c r="C42" s="175">
        <v>45595</v>
      </c>
      <c r="D42" s="175">
        <v>374342</v>
      </c>
    </row>
    <row r="43" spans="1:5" x14ac:dyDescent="0.25">
      <c r="A43" t="s">
        <v>718</v>
      </c>
      <c r="B43">
        <v>7</v>
      </c>
      <c r="C43" s="175">
        <v>45595</v>
      </c>
      <c r="D43" s="175">
        <v>374329</v>
      </c>
    </row>
    <row r="44" spans="1:5" x14ac:dyDescent="0.25">
      <c r="A44" t="s">
        <v>719</v>
      </c>
      <c r="B44">
        <v>7</v>
      </c>
      <c r="C44" s="175">
        <v>45593</v>
      </c>
      <c r="D44" s="175">
        <v>45624</v>
      </c>
    </row>
    <row r="45" spans="1:5" x14ac:dyDescent="0.25">
      <c r="A45" t="s">
        <v>720</v>
      </c>
      <c r="B45">
        <v>1</v>
      </c>
    </row>
    <row r="46" spans="1:5" x14ac:dyDescent="0.25">
      <c r="A46" t="s">
        <v>721</v>
      </c>
      <c r="B46">
        <v>1</v>
      </c>
    </row>
    <row r="47" spans="1:5" x14ac:dyDescent="0.25">
      <c r="A47" t="s">
        <v>722</v>
      </c>
      <c r="B47">
        <v>1</v>
      </c>
    </row>
    <row r="48" spans="1:5" x14ac:dyDescent="0.25">
      <c r="A48" t="s">
        <v>723</v>
      </c>
      <c r="B48">
        <v>4</v>
      </c>
      <c r="D48" s="175">
        <v>45621</v>
      </c>
      <c r="E48" s="175">
        <v>45596</v>
      </c>
    </row>
    <row r="49" spans="1:5" x14ac:dyDescent="0.25">
      <c r="A49" t="s">
        <v>724</v>
      </c>
      <c r="B49">
        <v>4</v>
      </c>
      <c r="D49" s="175">
        <v>45621</v>
      </c>
      <c r="E49" s="175">
        <v>45596</v>
      </c>
    </row>
    <row r="50" spans="1:5" x14ac:dyDescent="0.25">
      <c r="A50" t="s">
        <v>725</v>
      </c>
      <c r="B50">
        <v>4</v>
      </c>
      <c r="D50" s="175">
        <v>45621</v>
      </c>
      <c r="E50" s="175">
        <v>45596</v>
      </c>
    </row>
    <row r="51" spans="1:5" x14ac:dyDescent="0.25">
      <c r="A51" t="s">
        <v>726</v>
      </c>
      <c r="B51">
        <v>1</v>
      </c>
    </row>
    <row r="52" spans="1:5" x14ac:dyDescent="0.25">
      <c r="A52" t="s">
        <v>727</v>
      </c>
      <c r="B52">
        <v>1</v>
      </c>
    </row>
    <row r="53" spans="1:5" x14ac:dyDescent="0.25">
      <c r="A53" t="s">
        <v>728</v>
      </c>
      <c r="B53">
        <v>1</v>
      </c>
    </row>
    <row r="54" spans="1:5" x14ac:dyDescent="0.25">
      <c r="A54" t="s">
        <v>729</v>
      </c>
      <c r="B54">
        <v>1</v>
      </c>
    </row>
    <row r="55" spans="1:5" x14ac:dyDescent="0.25">
      <c r="A55" t="s">
        <v>730</v>
      </c>
      <c r="B55">
        <v>4</v>
      </c>
      <c r="D55" s="175">
        <v>45614</v>
      </c>
      <c r="E55" s="175">
        <v>45596</v>
      </c>
    </row>
    <row r="56" spans="1:5" x14ac:dyDescent="0.25">
      <c r="A56" t="s">
        <v>731</v>
      </c>
      <c r="B56">
        <v>4</v>
      </c>
      <c r="D56" s="175">
        <v>45614</v>
      </c>
      <c r="E56" s="175">
        <v>45596</v>
      </c>
    </row>
    <row r="57" spans="1:5" x14ac:dyDescent="0.25">
      <c r="A57" t="s">
        <v>732</v>
      </c>
      <c r="B57">
        <v>4</v>
      </c>
      <c r="D57" s="175">
        <v>45614</v>
      </c>
      <c r="E57" s="175">
        <v>45596</v>
      </c>
    </row>
    <row r="58" spans="1:5" x14ac:dyDescent="0.25">
      <c r="A58" t="s">
        <v>733</v>
      </c>
      <c r="B58">
        <v>4</v>
      </c>
      <c r="D58" s="175">
        <v>45614</v>
      </c>
      <c r="E58" s="175">
        <v>45596</v>
      </c>
    </row>
    <row r="59" spans="1:5" x14ac:dyDescent="0.25">
      <c r="A59" t="s">
        <v>734</v>
      </c>
      <c r="B59">
        <v>1</v>
      </c>
    </row>
    <row r="60" spans="1:5" x14ac:dyDescent="0.25">
      <c r="A60" t="s">
        <v>735</v>
      </c>
      <c r="B60">
        <v>1</v>
      </c>
    </row>
    <row r="61" spans="1:5" x14ac:dyDescent="0.25">
      <c r="A61" t="s">
        <v>736</v>
      </c>
      <c r="B61">
        <v>7</v>
      </c>
      <c r="C61" s="175">
        <v>45583</v>
      </c>
      <c r="D61" s="175">
        <v>45611</v>
      </c>
    </row>
    <row r="62" spans="1:5" x14ac:dyDescent="0.25">
      <c r="A62" t="s">
        <v>737</v>
      </c>
      <c r="B62">
        <v>4</v>
      </c>
      <c r="C62" s="175">
        <v>45589</v>
      </c>
      <c r="E62" s="175">
        <v>45596</v>
      </c>
    </row>
    <row r="63" spans="1:5" x14ac:dyDescent="0.25">
      <c r="A63" t="s">
        <v>738</v>
      </c>
      <c r="B63">
        <v>4</v>
      </c>
      <c r="C63" s="175">
        <v>45589</v>
      </c>
      <c r="E63" s="175">
        <v>45596</v>
      </c>
    </row>
    <row r="64" spans="1:5" x14ac:dyDescent="0.25">
      <c r="A64" t="s">
        <v>739</v>
      </c>
      <c r="B64">
        <v>4</v>
      </c>
      <c r="D64" s="175">
        <v>45614</v>
      </c>
      <c r="E64" s="175">
        <v>45596</v>
      </c>
    </row>
    <row r="65" spans="1:5" x14ac:dyDescent="0.25">
      <c r="A65" t="s">
        <v>740</v>
      </c>
      <c r="B65">
        <v>4</v>
      </c>
      <c r="C65" s="175">
        <v>45589</v>
      </c>
      <c r="E65" s="175">
        <v>45596</v>
      </c>
    </row>
    <row r="66" spans="1:5" x14ac:dyDescent="0.25">
      <c r="A66" t="s">
        <v>741</v>
      </c>
      <c r="B66">
        <v>7</v>
      </c>
      <c r="C66" s="175">
        <v>45589</v>
      </c>
      <c r="D66" s="175">
        <v>45611</v>
      </c>
    </row>
    <row r="67" spans="1:5" x14ac:dyDescent="0.25">
      <c r="A67" t="s">
        <v>742</v>
      </c>
      <c r="B67">
        <v>7</v>
      </c>
      <c r="C67" s="175">
        <v>45593</v>
      </c>
      <c r="D67" s="175">
        <v>45611</v>
      </c>
    </row>
    <row r="68" spans="1:5" x14ac:dyDescent="0.25">
      <c r="A68" t="s">
        <v>743</v>
      </c>
      <c r="B68">
        <v>4</v>
      </c>
      <c r="C68" s="175">
        <v>45589</v>
      </c>
      <c r="E68" s="175">
        <v>45596</v>
      </c>
    </row>
    <row r="69" spans="1:5" x14ac:dyDescent="0.25">
      <c r="A69" t="s">
        <v>744</v>
      </c>
      <c r="B69">
        <v>4</v>
      </c>
      <c r="C69" s="175">
        <v>45589</v>
      </c>
      <c r="E69" s="175">
        <v>45596</v>
      </c>
    </row>
    <row r="70" spans="1:5" x14ac:dyDescent="0.25">
      <c r="A70" t="s">
        <v>745</v>
      </c>
      <c r="B70">
        <v>4</v>
      </c>
      <c r="C70" s="175">
        <v>45589</v>
      </c>
      <c r="E70" s="175">
        <v>45596</v>
      </c>
    </row>
    <row r="71" spans="1:5" x14ac:dyDescent="0.25">
      <c r="A71" t="s">
        <v>746</v>
      </c>
      <c r="B71">
        <v>1</v>
      </c>
    </row>
    <row r="72" spans="1:5" x14ac:dyDescent="0.25">
      <c r="A72" t="s">
        <v>747</v>
      </c>
      <c r="B72">
        <v>1</v>
      </c>
    </row>
    <row r="73" spans="1:5" x14ac:dyDescent="0.25">
      <c r="A73" t="s">
        <v>748</v>
      </c>
      <c r="B73">
        <v>7</v>
      </c>
      <c r="C73" s="175">
        <v>45593</v>
      </c>
      <c r="D73" s="175">
        <v>45611</v>
      </c>
    </row>
    <row r="74" spans="1:5" x14ac:dyDescent="0.25">
      <c r="A74" t="s">
        <v>749</v>
      </c>
      <c r="B74">
        <v>7</v>
      </c>
      <c r="C74" s="175">
        <v>45589</v>
      </c>
    </row>
    <row r="75" spans="1:5" x14ac:dyDescent="0.25">
      <c r="A75" t="s">
        <v>750</v>
      </c>
      <c r="B75">
        <v>1</v>
      </c>
    </row>
    <row r="76" spans="1:5" x14ac:dyDescent="0.25">
      <c r="A76" t="s">
        <v>751</v>
      </c>
      <c r="B76">
        <v>4</v>
      </c>
      <c r="C76" s="175">
        <v>45583</v>
      </c>
      <c r="E76" s="175">
        <v>45596</v>
      </c>
    </row>
    <row r="77" spans="1:5" x14ac:dyDescent="0.25">
      <c r="A77" t="s">
        <v>752</v>
      </c>
      <c r="B77">
        <v>1</v>
      </c>
      <c r="C77" s="175">
        <v>45589</v>
      </c>
      <c r="D77" s="175">
        <v>45596</v>
      </c>
      <c r="E77" s="175">
        <v>45596</v>
      </c>
    </row>
    <row r="78" spans="1:5" x14ac:dyDescent="0.25">
      <c r="A78" t="s">
        <v>753</v>
      </c>
      <c r="B78">
        <v>7</v>
      </c>
      <c r="D78" s="175">
        <v>45611</v>
      </c>
    </row>
    <row r="79" spans="1:5" x14ac:dyDescent="0.25">
      <c r="A79" t="s">
        <v>754</v>
      </c>
      <c r="B79">
        <v>4</v>
      </c>
      <c r="D79" s="175">
        <v>45614</v>
      </c>
      <c r="E79" s="175">
        <v>45596</v>
      </c>
    </row>
    <row r="80" spans="1:5" x14ac:dyDescent="0.25">
      <c r="A80" t="s">
        <v>755</v>
      </c>
      <c r="B80">
        <v>4</v>
      </c>
      <c r="D80" s="175">
        <v>45614</v>
      </c>
      <c r="E80" s="175">
        <v>45596</v>
      </c>
    </row>
    <row r="81" spans="1:5" x14ac:dyDescent="0.25">
      <c r="A81" t="s">
        <v>756</v>
      </c>
      <c r="B81">
        <v>4</v>
      </c>
      <c r="D81" s="175">
        <v>45614</v>
      </c>
      <c r="E81" s="175">
        <v>45596</v>
      </c>
    </row>
    <row r="82" spans="1:5" x14ac:dyDescent="0.25">
      <c r="A82" t="s">
        <v>757</v>
      </c>
      <c r="B82">
        <v>4</v>
      </c>
      <c r="D82" s="175">
        <v>45614</v>
      </c>
      <c r="E82" s="175">
        <v>45596</v>
      </c>
    </row>
    <row r="83" spans="1:5" x14ac:dyDescent="0.25">
      <c r="A83" t="s">
        <v>758</v>
      </c>
      <c r="B83">
        <v>4</v>
      </c>
      <c r="D83" s="175">
        <v>45614</v>
      </c>
      <c r="E83" s="175">
        <v>45596</v>
      </c>
    </row>
    <row r="84" spans="1:5" x14ac:dyDescent="0.25">
      <c r="A84" t="s">
        <v>759</v>
      </c>
      <c r="B84">
        <v>1</v>
      </c>
    </row>
    <row r="85" spans="1:5" x14ac:dyDescent="0.25">
      <c r="A85" t="s">
        <v>760</v>
      </c>
      <c r="B85">
        <v>7</v>
      </c>
      <c r="C85" s="175">
        <v>45593</v>
      </c>
      <c r="D85" s="175">
        <v>45624</v>
      </c>
    </row>
    <row r="86" spans="1:5" x14ac:dyDescent="0.25">
      <c r="A86" t="s">
        <v>761</v>
      </c>
      <c r="B86">
        <v>4</v>
      </c>
      <c r="D86" s="175">
        <v>45614</v>
      </c>
      <c r="E86" s="175">
        <v>45596</v>
      </c>
    </row>
    <row r="87" spans="1:5" x14ac:dyDescent="0.25">
      <c r="A87" t="s">
        <v>762</v>
      </c>
      <c r="B87">
        <v>4</v>
      </c>
      <c r="C87" s="175">
        <v>45583</v>
      </c>
      <c r="D87" s="175">
        <v>45614</v>
      </c>
      <c r="E87" s="175">
        <v>45596</v>
      </c>
    </row>
    <row r="88" spans="1:5" x14ac:dyDescent="0.25">
      <c r="A88" t="s">
        <v>763</v>
      </c>
      <c r="B88">
        <v>4</v>
      </c>
      <c r="D88" s="175">
        <v>45614</v>
      </c>
      <c r="E88" s="175">
        <v>45596</v>
      </c>
    </row>
    <row r="89" spans="1:5" x14ac:dyDescent="0.25">
      <c r="A89" t="s">
        <v>764</v>
      </c>
      <c r="B89">
        <v>4</v>
      </c>
      <c r="D89" s="175">
        <v>45614</v>
      </c>
      <c r="E89" s="175">
        <v>45596</v>
      </c>
    </row>
    <row r="90" spans="1:5" x14ac:dyDescent="0.25">
      <c r="A90" t="s">
        <v>765</v>
      </c>
      <c r="B90">
        <v>1</v>
      </c>
    </row>
    <row r="91" spans="1:5" x14ac:dyDescent="0.25">
      <c r="A91" t="s">
        <v>766</v>
      </c>
      <c r="B91">
        <v>1</v>
      </c>
    </row>
    <row r="92" spans="1:5" x14ac:dyDescent="0.25">
      <c r="A92" t="s">
        <v>767</v>
      </c>
      <c r="B92">
        <v>7</v>
      </c>
      <c r="C92" s="175">
        <v>45583</v>
      </c>
      <c r="D92" s="175">
        <v>45596</v>
      </c>
      <c r="E92" s="175">
        <v>45596</v>
      </c>
    </row>
    <row r="93" spans="1:5" x14ac:dyDescent="0.25">
      <c r="A93" t="s">
        <v>768</v>
      </c>
      <c r="B93">
        <v>7</v>
      </c>
      <c r="C93" s="175">
        <v>45583</v>
      </c>
      <c r="D93" s="175">
        <v>45596</v>
      </c>
      <c r="E93" s="175">
        <v>45596</v>
      </c>
    </row>
    <row r="94" spans="1:5" x14ac:dyDescent="0.25">
      <c r="A94" t="s">
        <v>769</v>
      </c>
      <c r="B94">
        <v>7</v>
      </c>
      <c r="C94" s="175">
        <v>45583</v>
      </c>
      <c r="D94" s="175">
        <v>45596</v>
      </c>
      <c r="E94" s="175">
        <v>45596</v>
      </c>
    </row>
    <row r="95" spans="1:5" x14ac:dyDescent="0.25">
      <c r="A95" t="s">
        <v>770</v>
      </c>
      <c r="B95">
        <v>2</v>
      </c>
      <c r="C95" s="175">
        <v>45583</v>
      </c>
      <c r="D95" s="175">
        <v>45596</v>
      </c>
      <c r="E95" s="175">
        <v>45596</v>
      </c>
    </row>
    <row r="96" spans="1:5" x14ac:dyDescent="0.25">
      <c r="A96" t="s">
        <v>771</v>
      </c>
      <c r="B96">
        <v>2</v>
      </c>
      <c r="C96" s="175">
        <v>45583</v>
      </c>
      <c r="D96" s="175">
        <v>45596</v>
      </c>
      <c r="E96" s="175">
        <v>45596</v>
      </c>
    </row>
    <row r="97" spans="1:5" x14ac:dyDescent="0.25">
      <c r="A97" t="s">
        <v>772</v>
      </c>
      <c r="B97">
        <v>4</v>
      </c>
      <c r="C97" s="175">
        <v>45583</v>
      </c>
      <c r="D97" s="175">
        <v>45596</v>
      </c>
      <c r="E97" s="175">
        <v>45596</v>
      </c>
    </row>
    <row r="98" spans="1:5" x14ac:dyDescent="0.25">
      <c r="A98" t="s">
        <v>773</v>
      </c>
      <c r="B98">
        <v>4</v>
      </c>
      <c r="C98" s="175">
        <v>45583</v>
      </c>
      <c r="D98" s="175">
        <v>45596</v>
      </c>
      <c r="E98" s="175">
        <v>45596</v>
      </c>
    </row>
    <row r="99" spans="1:5" x14ac:dyDescent="0.25">
      <c r="A99" t="s">
        <v>774</v>
      </c>
      <c r="B99">
        <v>7</v>
      </c>
      <c r="C99" s="175">
        <v>45593</v>
      </c>
      <c r="D99" s="175">
        <v>45624</v>
      </c>
    </row>
    <row r="100" spans="1:5" x14ac:dyDescent="0.25">
      <c r="A100" t="s">
        <v>775</v>
      </c>
      <c r="B100">
        <v>7</v>
      </c>
      <c r="C100" s="175">
        <v>45593</v>
      </c>
      <c r="D100" s="175">
        <v>45624</v>
      </c>
    </row>
    <row r="101" spans="1:5" x14ac:dyDescent="0.25">
      <c r="A101" t="s">
        <v>776</v>
      </c>
      <c r="B101">
        <v>7</v>
      </c>
      <c r="C101" s="175">
        <v>45593</v>
      </c>
      <c r="D101" s="175">
        <v>45624</v>
      </c>
    </row>
    <row r="102" spans="1:5" x14ac:dyDescent="0.25">
      <c r="A102" t="s">
        <v>777</v>
      </c>
      <c r="B102">
        <v>7</v>
      </c>
      <c r="C102" s="175">
        <v>45593</v>
      </c>
      <c r="D102" s="175">
        <v>45624</v>
      </c>
    </row>
    <row r="103" spans="1:5" x14ac:dyDescent="0.25">
      <c r="A103" t="s">
        <v>778</v>
      </c>
      <c r="B103">
        <v>7</v>
      </c>
      <c r="C103" s="175">
        <v>45583</v>
      </c>
      <c r="D103" s="175">
        <v>45596</v>
      </c>
      <c r="E103" s="175">
        <v>45596</v>
      </c>
    </row>
    <row r="104" spans="1:5" x14ac:dyDescent="0.25">
      <c r="A104" t="s">
        <v>779</v>
      </c>
      <c r="B104">
        <v>7</v>
      </c>
      <c r="C104" s="175">
        <v>45583</v>
      </c>
      <c r="D104" s="175">
        <v>45596</v>
      </c>
      <c r="E104" s="175">
        <v>45596</v>
      </c>
    </row>
    <row r="105" spans="1:5" x14ac:dyDescent="0.25">
      <c r="A105" t="s">
        <v>780</v>
      </c>
      <c r="B105">
        <v>7</v>
      </c>
      <c r="C105" s="175">
        <v>45583</v>
      </c>
      <c r="D105" s="175">
        <v>45596</v>
      </c>
      <c r="E105" s="175">
        <v>45596</v>
      </c>
    </row>
    <row r="106" spans="1:5" x14ac:dyDescent="0.25">
      <c r="A106" t="s">
        <v>781</v>
      </c>
      <c r="B106">
        <v>7</v>
      </c>
      <c r="C106" s="175">
        <v>45595</v>
      </c>
      <c r="D106" s="175">
        <v>45611</v>
      </c>
    </row>
    <row r="107" spans="1:5" x14ac:dyDescent="0.25">
      <c r="A107" t="s">
        <v>782</v>
      </c>
      <c r="B107">
        <v>7</v>
      </c>
      <c r="C107" s="175">
        <v>45589</v>
      </c>
      <c r="D107" s="175">
        <v>45611</v>
      </c>
    </row>
    <row r="108" spans="1:5" x14ac:dyDescent="0.25">
      <c r="A108" t="s">
        <v>783</v>
      </c>
      <c r="B108">
        <v>7</v>
      </c>
      <c r="C108" s="175">
        <v>45589</v>
      </c>
      <c r="D108" s="175">
        <v>45624</v>
      </c>
    </row>
    <row r="109" spans="1:5" x14ac:dyDescent="0.25">
      <c r="A109" t="s">
        <v>784</v>
      </c>
      <c r="B109">
        <v>7</v>
      </c>
      <c r="C109" s="175">
        <v>45589</v>
      </c>
      <c r="D109" s="175">
        <v>45611</v>
      </c>
    </row>
    <row r="110" spans="1:5" x14ac:dyDescent="0.25">
      <c r="A110" t="s">
        <v>785</v>
      </c>
      <c r="B110">
        <v>7</v>
      </c>
      <c r="C110" s="175">
        <v>45589</v>
      </c>
      <c r="D110" s="175">
        <v>45611</v>
      </c>
    </row>
    <row r="111" spans="1:5" x14ac:dyDescent="0.25">
      <c r="A111" t="s">
        <v>786</v>
      </c>
      <c r="B111">
        <v>7</v>
      </c>
      <c r="C111" s="175">
        <v>45583</v>
      </c>
      <c r="D111" s="175">
        <v>45611</v>
      </c>
    </row>
    <row r="112" spans="1:5" x14ac:dyDescent="0.25">
      <c r="A112" t="s">
        <v>787</v>
      </c>
      <c r="B112">
        <v>2</v>
      </c>
      <c r="C112" s="175">
        <v>45583</v>
      </c>
      <c r="D112" s="175">
        <v>45596</v>
      </c>
      <c r="E112" s="175">
        <v>45596</v>
      </c>
    </row>
    <row r="113" spans="1:4" x14ac:dyDescent="0.25">
      <c r="A113" t="s">
        <v>788</v>
      </c>
      <c r="B113">
        <v>7</v>
      </c>
      <c r="C113" s="175">
        <v>45588</v>
      </c>
    </row>
    <row r="114" spans="1:4" x14ac:dyDescent="0.25">
      <c r="A114" t="s">
        <v>789</v>
      </c>
      <c r="B114">
        <v>1</v>
      </c>
    </row>
    <row r="115" spans="1:4" x14ac:dyDescent="0.25">
      <c r="A115" t="s">
        <v>790</v>
      </c>
      <c r="B115">
        <v>1</v>
      </c>
    </row>
    <row r="116" spans="1:4" x14ac:dyDescent="0.25">
      <c r="A116" t="s">
        <v>791</v>
      </c>
      <c r="B116">
        <v>1</v>
      </c>
    </row>
    <row r="117" spans="1:4" x14ac:dyDescent="0.25">
      <c r="A117" t="s">
        <v>792</v>
      </c>
      <c r="B117">
        <v>1</v>
      </c>
    </row>
    <row r="118" spans="1:4" x14ac:dyDescent="0.25">
      <c r="A118" t="s">
        <v>793</v>
      </c>
      <c r="B118">
        <v>1</v>
      </c>
    </row>
    <row r="119" spans="1:4" x14ac:dyDescent="0.25">
      <c r="A119" t="s">
        <v>794</v>
      </c>
      <c r="B119">
        <v>1</v>
      </c>
    </row>
    <row r="120" spans="1:4" x14ac:dyDescent="0.25">
      <c r="A120" t="s">
        <v>795</v>
      </c>
      <c r="B120">
        <v>1</v>
      </c>
    </row>
    <row r="121" spans="1:4" x14ac:dyDescent="0.25">
      <c r="A121" t="s">
        <v>796</v>
      </c>
      <c r="B121">
        <v>1</v>
      </c>
    </row>
    <row r="122" spans="1:4" x14ac:dyDescent="0.25">
      <c r="A122" t="s">
        <v>797</v>
      </c>
      <c r="B122">
        <v>1</v>
      </c>
    </row>
    <row r="123" spans="1:4" x14ac:dyDescent="0.25">
      <c r="A123" t="s">
        <v>798</v>
      </c>
      <c r="B123">
        <v>1</v>
      </c>
    </row>
    <row r="124" spans="1:4" x14ac:dyDescent="0.25">
      <c r="A124" t="s">
        <v>1990</v>
      </c>
      <c r="B124">
        <v>7</v>
      </c>
      <c r="C124" s="175">
        <v>45593</v>
      </c>
      <c r="D124" s="175">
        <v>45624</v>
      </c>
    </row>
    <row r="125" spans="1:4" x14ac:dyDescent="0.25">
      <c r="A125" t="s">
        <v>1991</v>
      </c>
      <c r="B125">
        <v>7</v>
      </c>
      <c r="C125" s="175">
        <v>45593</v>
      </c>
      <c r="D125" s="175">
        <v>45624</v>
      </c>
    </row>
    <row r="126" spans="1:4" x14ac:dyDescent="0.25">
      <c r="A126" t="s">
        <v>1992</v>
      </c>
      <c r="B126">
        <v>7</v>
      </c>
      <c r="D126" s="175">
        <v>45624</v>
      </c>
    </row>
    <row r="127" spans="1:4" x14ac:dyDescent="0.25">
      <c r="A127" t="s">
        <v>1993</v>
      </c>
      <c r="B127">
        <v>7</v>
      </c>
      <c r="C127" s="175">
        <v>45593</v>
      </c>
      <c r="D127" s="175">
        <v>45624</v>
      </c>
    </row>
    <row r="128" spans="1:4" x14ac:dyDescent="0.25">
      <c r="A128" t="s">
        <v>799</v>
      </c>
      <c r="B128">
        <v>1</v>
      </c>
    </row>
    <row r="129" spans="1:4" x14ac:dyDescent="0.25">
      <c r="A129" t="s">
        <v>800</v>
      </c>
      <c r="B129">
        <v>1</v>
      </c>
    </row>
    <row r="130" spans="1:4" x14ac:dyDescent="0.25">
      <c r="A130" t="s">
        <v>801</v>
      </c>
      <c r="B130">
        <v>1</v>
      </c>
    </row>
    <row r="131" spans="1:4" x14ac:dyDescent="0.25">
      <c r="A131" t="s">
        <v>802</v>
      </c>
      <c r="B131">
        <v>1</v>
      </c>
    </row>
    <row r="132" spans="1:4" x14ac:dyDescent="0.25">
      <c r="A132" t="s">
        <v>803</v>
      </c>
      <c r="B132">
        <v>1</v>
      </c>
    </row>
    <row r="133" spans="1:4" x14ac:dyDescent="0.25">
      <c r="A133" t="s">
        <v>804</v>
      </c>
      <c r="B133">
        <v>1</v>
      </c>
    </row>
    <row r="134" spans="1:4" x14ac:dyDescent="0.25">
      <c r="A134" t="s">
        <v>805</v>
      </c>
      <c r="B134">
        <v>1</v>
      </c>
    </row>
    <row r="135" spans="1:4" x14ac:dyDescent="0.25">
      <c r="A135" t="s">
        <v>806</v>
      </c>
      <c r="B135">
        <v>1</v>
      </c>
    </row>
    <row r="136" spans="1:4" x14ac:dyDescent="0.25">
      <c r="A136" t="s">
        <v>807</v>
      </c>
      <c r="B136">
        <v>1</v>
      </c>
    </row>
    <row r="137" spans="1:4" x14ac:dyDescent="0.25">
      <c r="A137" t="s">
        <v>1994</v>
      </c>
      <c r="B137">
        <v>7</v>
      </c>
      <c r="C137" s="175">
        <v>45593</v>
      </c>
      <c r="D137" s="175">
        <v>45611</v>
      </c>
    </row>
    <row r="138" spans="1:4" x14ac:dyDescent="0.25">
      <c r="A138" t="s">
        <v>1995</v>
      </c>
      <c r="B138">
        <v>7</v>
      </c>
      <c r="D138" s="175">
        <v>45611</v>
      </c>
    </row>
    <row r="139" spans="1:4" x14ac:dyDescent="0.25">
      <c r="A139" t="s">
        <v>1996</v>
      </c>
      <c r="B139">
        <v>7</v>
      </c>
      <c r="D139" s="175">
        <v>45611</v>
      </c>
    </row>
    <row r="140" spans="1:4" x14ac:dyDescent="0.25">
      <c r="A140" t="s">
        <v>1997</v>
      </c>
      <c r="B140">
        <v>7</v>
      </c>
      <c r="D140" s="175">
        <v>45611</v>
      </c>
    </row>
    <row r="141" spans="1:4" x14ac:dyDescent="0.25">
      <c r="A141" t="s">
        <v>1998</v>
      </c>
      <c r="B141">
        <v>7</v>
      </c>
      <c r="D141" s="175">
        <v>45611</v>
      </c>
    </row>
    <row r="142" spans="1:4" x14ac:dyDescent="0.25">
      <c r="A142" t="s">
        <v>1999</v>
      </c>
      <c r="B142">
        <v>7</v>
      </c>
      <c r="C142" s="175">
        <v>45593</v>
      </c>
      <c r="D142" s="175">
        <v>45611</v>
      </c>
    </row>
    <row r="143" spans="1:4" x14ac:dyDescent="0.25">
      <c r="A143" t="s">
        <v>2000</v>
      </c>
      <c r="B143">
        <v>7</v>
      </c>
      <c r="C143" s="175">
        <v>45593</v>
      </c>
      <c r="D143" s="175">
        <v>45611</v>
      </c>
    </row>
    <row r="144" spans="1:4" x14ac:dyDescent="0.25">
      <c r="A144" t="s">
        <v>2001</v>
      </c>
      <c r="B144">
        <v>7</v>
      </c>
      <c r="C144" s="175">
        <v>45593</v>
      </c>
      <c r="D144" s="175">
        <v>45611</v>
      </c>
    </row>
    <row r="145" spans="1:5" x14ac:dyDescent="0.25">
      <c r="A145" t="s">
        <v>2002</v>
      </c>
      <c r="B145">
        <v>7</v>
      </c>
      <c r="C145" s="175">
        <v>45593</v>
      </c>
      <c r="D145" s="175">
        <v>45611</v>
      </c>
    </row>
    <row r="146" spans="1:5" x14ac:dyDescent="0.25">
      <c r="A146" t="s">
        <v>2003</v>
      </c>
      <c r="B146">
        <v>7</v>
      </c>
      <c r="C146" s="175">
        <v>45593</v>
      </c>
      <c r="D146" s="175">
        <v>45611</v>
      </c>
    </row>
    <row r="147" spans="1:5" x14ac:dyDescent="0.25">
      <c r="A147" t="s">
        <v>2004</v>
      </c>
      <c r="B147">
        <v>7</v>
      </c>
      <c r="C147" s="175">
        <v>45593</v>
      </c>
      <c r="D147" s="175">
        <v>45611</v>
      </c>
    </row>
    <row r="148" spans="1:5" x14ac:dyDescent="0.25">
      <c r="A148" t="s">
        <v>2005</v>
      </c>
      <c r="B148">
        <v>7</v>
      </c>
      <c r="C148" s="175">
        <v>45593</v>
      </c>
      <c r="D148" s="175">
        <v>45611</v>
      </c>
    </row>
    <row r="149" spans="1:5" x14ac:dyDescent="0.25">
      <c r="A149" t="s">
        <v>2006</v>
      </c>
      <c r="B149">
        <v>7</v>
      </c>
      <c r="D149" s="175">
        <v>45611</v>
      </c>
    </row>
    <row r="150" spans="1:5" x14ac:dyDescent="0.25">
      <c r="A150" t="s">
        <v>2007</v>
      </c>
      <c r="B150">
        <v>7</v>
      </c>
      <c r="C150" s="175">
        <v>45593</v>
      </c>
      <c r="D150" s="175">
        <v>45611</v>
      </c>
    </row>
    <row r="151" spans="1:5" x14ac:dyDescent="0.25">
      <c r="A151" t="s">
        <v>2008</v>
      </c>
      <c r="B151">
        <v>7</v>
      </c>
      <c r="C151" s="175">
        <v>45593</v>
      </c>
      <c r="D151" s="175">
        <v>45611</v>
      </c>
    </row>
    <row r="152" spans="1:5" x14ac:dyDescent="0.25">
      <c r="A152" t="s">
        <v>808</v>
      </c>
      <c r="B152">
        <v>1</v>
      </c>
      <c r="D152" s="175">
        <v>45603</v>
      </c>
    </row>
    <row r="153" spans="1:5" x14ac:dyDescent="0.25">
      <c r="A153" t="s">
        <v>809</v>
      </c>
      <c r="B153">
        <v>1</v>
      </c>
      <c r="D153" s="175">
        <v>45603</v>
      </c>
    </row>
    <row r="154" spans="1:5" x14ac:dyDescent="0.25">
      <c r="A154" t="s">
        <v>810</v>
      </c>
      <c r="B154">
        <v>1</v>
      </c>
      <c r="D154" s="175">
        <v>45603</v>
      </c>
    </row>
    <row r="155" spans="1:5" x14ac:dyDescent="0.25">
      <c r="A155" t="s">
        <v>811</v>
      </c>
      <c r="B155">
        <v>1</v>
      </c>
      <c r="D155" s="175">
        <v>45603</v>
      </c>
    </row>
    <row r="156" spans="1:5" x14ac:dyDescent="0.25">
      <c r="A156" t="s">
        <v>812</v>
      </c>
      <c r="B156">
        <v>1</v>
      </c>
      <c r="D156" s="175">
        <v>45603</v>
      </c>
    </row>
    <row r="157" spans="1:5" x14ac:dyDescent="0.25">
      <c r="A157" t="s">
        <v>813</v>
      </c>
      <c r="B157">
        <v>1</v>
      </c>
      <c r="D157" s="175">
        <v>45603</v>
      </c>
    </row>
    <row r="158" spans="1:5" x14ac:dyDescent="0.25">
      <c r="A158" t="s">
        <v>814</v>
      </c>
      <c r="B158">
        <v>1</v>
      </c>
      <c r="D158" s="175">
        <v>45603</v>
      </c>
    </row>
    <row r="159" spans="1:5" x14ac:dyDescent="0.25">
      <c r="A159" t="s">
        <v>815</v>
      </c>
      <c r="B159">
        <v>1</v>
      </c>
      <c r="D159" s="175">
        <v>45603</v>
      </c>
    </row>
    <row r="160" spans="1:5" x14ac:dyDescent="0.25">
      <c r="A160" t="s">
        <v>816</v>
      </c>
      <c r="B160">
        <v>1</v>
      </c>
      <c r="D160" s="175">
        <v>45603</v>
      </c>
      <c r="E160" s="175">
        <v>45534</v>
      </c>
    </row>
    <row r="161" spans="1:5" x14ac:dyDescent="0.25">
      <c r="A161" t="s">
        <v>817</v>
      </c>
      <c r="B161">
        <v>1</v>
      </c>
      <c r="D161" s="175">
        <v>45603</v>
      </c>
      <c r="E161" s="175">
        <v>45534</v>
      </c>
    </row>
    <row r="162" spans="1:5" x14ac:dyDescent="0.25">
      <c r="A162" t="s">
        <v>818</v>
      </c>
      <c r="B162">
        <v>1</v>
      </c>
      <c r="D162" s="175">
        <v>45603</v>
      </c>
      <c r="E162" s="175">
        <v>45534</v>
      </c>
    </row>
    <row r="163" spans="1:5" x14ac:dyDescent="0.25">
      <c r="A163" t="s">
        <v>819</v>
      </c>
      <c r="B163">
        <v>0</v>
      </c>
      <c r="D163" s="175">
        <v>45534</v>
      </c>
      <c r="E163" s="175">
        <v>45534</v>
      </c>
    </row>
    <row r="164" spans="1:5" x14ac:dyDescent="0.25">
      <c r="A164" t="s">
        <v>820</v>
      </c>
      <c r="B164">
        <v>1</v>
      </c>
      <c r="D164" s="175">
        <v>45603</v>
      </c>
      <c r="E164" s="175">
        <v>45534</v>
      </c>
    </row>
    <row r="165" spans="1:5" x14ac:dyDescent="0.25">
      <c r="A165" t="s">
        <v>821</v>
      </c>
      <c r="B165">
        <v>1</v>
      </c>
      <c r="D165" s="175">
        <v>45603</v>
      </c>
      <c r="E165" s="175">
        <v>45534</v>
      </c>
    </row>
    <row r="166" spans="1:5" x14ac:dyDescent="0.25">
      <c r="A166" t="s">
        <v>822</v>
      </c>
      <c r="B166">
        <v>1</v>
      </c>
      <c r="D166" s="175">
        <v>45603</v>
      </c>
      <c r="E166" s="175">
        <v>45534</v>
      </c>
    </row>
    <row r="167" spans="1:5" x14ac:dyDescent="0.25">
      <c r="A167" t="s">
        <v>823</v>
      </c>
      <c r="B167">
        <v>1</v>
      </c>
      <c r="D167" s="175">
        <v>45603</v>
      </c>
      <c r="E167" s="175">
        <v>45534</v>
      </c>
    </row>
    <row r="168" spans="1:5" x14ac:dyDescent="0.25">
      <c r="A168" t="s">
        <v>824</v>
      </c>
      <c r="B168">
        <v>1</v>
      </c>
      <c r="D168" s="175">
        <v>45603</v>
      </c>
      <c r="E168" s="175">
        <v>45534</v>
      </c>
    </row>
    <row r="169" spans="1:5" x14ac:dyDescent="0.25">
      <c r="A169" t="s">
        <v>825</v>
      </c>
      <c r="B169">
        <v>1</v>
      </c>
      <c r="D169" s="175">
        <v>45603</v>
      </c>
      <c r="E169" s="175">
        <v>45534</v>
      </c>
    </row>
    <row r="170" spans="1:5" x14ac:dyDescent="0.25">
      <c r="A170" t="s">
        <v>826</v>
      </c>
      <c r="B170">
        <v>1</v>
      </c>
      <c r="D170" s="175">
        <v>45603</v>
      </c>
      <c r="E170" s="175">
        <v>45534</v>
      </c>
    </row>
    <row r="171" spans="1:5" x14ac:dyDescent="0.25">
      <c r="A171" t="s">
        <v>827</v>
      </c>
      <c r="B171">
        <v>1</v>
      </c>
      <c r="D171" s="175">
        <v>45603</v>
      </c>
      <c r="E171" s="175">
        <v>45534</v>
      </c>
    </row>
    <row r="172" spans="1:5" x14ac:dyDescent="0.25">
      <c r="A172" t="s">
        <v>828</v>
      </c>
      <c r="B172">
        <v>1</v>
      </c>
      <c r="D172" s="175">
        <v>45603</v>
      </c>
      <c r="E172" s="175">
        <v>45534</v>
      </c>
    </row>
    <row r="173" spans="1:5" x14ac:dyDescent="0.25">
      <c r="A173" t="s">
        <v>829</v>
      </c>
      <c r="B173">
        <v>1</v>
      </c>
      <c r="D173" s="175">
        <v>45603</v>
      </c>
      <c r="E173" s="175">
        <v>45534</v>
      </c>
    </row>
    <row r="174" spans="1:5" x14ac:dyDescent="0.25">
      <c r="A174" t="s">
        <v>830</v>
      </c>
      <c r="B174">
        <v>1</v>
      </c>
      <c r="D174" s="175">
        <v>45603</v>
      </c>
      <c r="E174" s="175">
        <v>45534</v>
      </c>
    </row>
    <row r="175" spans="1:5" x14ac:dyDescent="0.25">
      <c r="A175" t="s">
        <v>831</v>
      </c>
      <c r="B175">
        <v>1</v>
      </c>
      <c r="D175" s="175">
        <v>45603</v>
      </c>
      <c r="E175" s="175">
        <v>45534</v>
      </c>
    </row>
    <row r="176" spans="1:5" x14ac:dyDescent="0.25">
      <c r="A176" t="s">
        <v>832</v>
      </c>
      <c r="B176">
        <v>1</v>
      </c>
      <c r="D176" s="175">
        <v>45603</v>
      </c>
      <c r="E176" s="175">
        <v>45534</v>
      </c>
    </row>
    <row r="177" spans="1:5" x14ac:dyDescent="0.25">
      <c r="A177" t="s">
        <v>833</v>
      </c>
      <c r="B177">
        <v>1</v>
      </c>
      <c r="D177" s="175">
        <v>45603</v>
      </c>
      <c r="E177" s="175">
        <v>45534</v>
      </c>
    </row>
    <row r="178" spans="1:5" x14ac:dyDescent="0.25">
      <c r="A178" t="s">
        <v>834</v>
      </c>
      <c r="B178">
        <v>1</v>
      </c>
      <c r="D178" s="175">
        <v>45603</v>
      </c>
      <c r="E178" s="175">
        <v>45534</v>
      </c>
    </row>
    <row r="179" spans="1:5" x14ac:dyDescent="0.25">
      <c r="A179" t="s">
        <v>835</v>
      </c>
      <c r="B179">
        <v>1</v>
      </c>
      <c r="D179" s="175">
        <v>45603</v>
      </c>
    </row>
    <row r="180" spans="1:5" x14ac:dyDescent="0.25">
      <c r="A180" t="s">
        <v>836</v>
      </c>
      <c r="B180">
        <v>0</v>
      </c>
    </row>
    <row r="181" spans="1:5" x14ac:dyDescent="0.25">
      <c r="A181" t="s">
        <v>837</v>
      </c>
      <c r="B181">
        <v>1</v>
      </c>
      <c r="D181" s="175">
        <v>45603</v>
      </c>
    </row>
    <row r="182" spans="1:5" x14ac:dyDescent="0.25">
      <c r="A182" t="s">
        <v>838</v>
      </c>
      <c r="B182">
        <v>1</v>
      </c>
      <c r="D182" s="175">
        <v>45603</v>
      </c>
    </row>
    <row r="183" spans="1:5" x14ac:dyDescent="0.25">
      <c r="A183" t="s">
        <v>839</v>
      </c>
      <c r="B183">
        <v>1</v>
      </c>
      <c r="D183" s="175">
        <v>45603</v>
      </c>
    </row>
    <row r="184" spans="1:5" x14ac:dyDescent="0.25">
      <c r="A184" t="s">
        <v>840</v>
      </c>
      <c r="B184">
        <v>0</v>
      </c>
    </row>
    <row r="185" spans="1:5" x14ac:dyDescent="0.25">
      <c r="A185" t="s">
        <v>841</v>
      </c>
      <c r="B185">
        <v>1</v>
      </c>
      <c r="D185" s="175">
        <v>45603</v>
      </c>
    </row>
    <row r="186" spans="1:5" x14ac:dyDescent="0.25">
      <c r="A186" t="s">
        <v>842</v>
      </c>
      <c r="B186">
        <v>1</v>
      </c>
      <c r="D186" s="175">
        <v>45603</v>
      </c>
    </row>
    <row r="187" spans="1:5" x14ac:dyDescent="0.25">
      <c r="A187" t="s">
        <v>843</v>
      </c>
      <c r="B187">
        <v>1</v>
      </c>
      <c r="D187" s="175">
        <v>45603</v>
      </c>
    </row>
    <row r="188" spans="1:5" x14ac:dyDescent="0.25">
      <c r="A188" t="s">
        <v>844</v>
      </c>
      <c r="B188">
        <v>0</v>
      </c>
    </row>
    <row r="189" spans="1:5" x14ac:dyDescent="0.25">
      <c r="A189" t="s">
        <v>845</v>
      </c>
      <c r="B189">
        <v>1</v>
      </c>
      <c r="D189" s="175">
        <v>45603</v>
      </c>
    </row>
    <row r="190" spans="1:5" x14ac:dyDescent="0.25">
      <c r="A190" t="s">
        <v>846</v>
      </c>
      <c r="B190">
        <v>1</v>
      </c>
      <c r="D190" s="175">
        <v>45603</v>
      </c>
    </row>
    <row r="191" spans="1:5" x14ac:dyDescent="0.25">
      <c r="A191" t="s">
        <v>847</v>
      </c>
      <c r="B191">
        <v>1</v>
      </c>
      <c r="D191" s="175">
        <v>45603</v>
      </c>
    </row>
    <row r="192" spans="1:5" x14ac:dyDescent="0.25">
      <c r="A192" t="s">
        <v>848</v>
      </c>
      <c r="B192">
        <v>1</v>
      </c>
      <c r="D192" s="175">
        <v>45603</v>
      </c>
    </row>
    <row r="193" spans="1:4" x14ac:dyDescent="0.25">
      <c r="A193" t="s">
        <v>849</v>
      </c>
      <c r="B193">
        <v>1</v>
      </c>
      <c r="D193" s="175">
        <v>45603</v>
      </c>
    </row>
    <row r="194" spans="1:4" x14ac:dyDescent="0.25">
      <c r="A194" t="s">
        <v>850</v>
      </c>
      <c r="B194">
        <v>1</v>
      </c>
      <c r="D194" s="175">
        <v>45603</v>
      </c>
    </row>
    <row r="195" spans="1:4" x14ac:dyDescent="0.25">
      <c r="A195" t="s">
        <v>851</v>
      </c>
      <c r="B195">
        <v>0</v>
      </c>
    </row>
    <row r="196" spans="1:4" x14ac:dyDescent="0.25">
      <c r="A196" t="s">
        <v>852</v>
      </c>
      <c r="B196">
        <v>0</v>
      </c>
    </row>
    <row r="197" spans="1:4" x14ac:dyDescent="0.25">
      <c r="A197" t="s">
        <v>853</v>
      </c>
      <c r="B197">
        <v>0</v>
      </c>
    </row>
    <row r="198" spans="1:4" x14ac:dyDescent="0.25">
      <c r="A198" t="s">
        <v>854</v>
      </c>
      <c r="B198">
        <v>1</v>
      </c>
      <c r="D198" s="175">
        <v>45603</v>
      </c>
    </row>
    <row r="199" spans="1:4" x14ac:dyDescent="0.25">
      <c r="A199" t="s">
        <v>855</v>
      </c>
      <c r="B199">
        <v>1</v>
      </c>
      <c r="D199" s="175">
        <v>45603</v>
      </c>
    </row>
    <row r="200" spans="1:4" x14ac:dyDescent="0.25">
      <c r="A200" t="s">
        <v>856</v>
      </c>
      <c r="B200">
        <v>0</v>
      </c>
    </row>
    <row r="201" spans="1:4" x14ac:dyDescent="0.25">
      <c r="A201" t="s">
        <v>857</v>
      </c>
      <c r="B201">
        <v>1</v>
      </c>
      <c r="D201" s="175">
        <v>45603</v>
      </c>
    </row>
    <row r="202" spans="1:4" x14ac:dyDescent="0.25">
      <c r="A202" t="s">
        <v>858</v>
      </c>
      <c r="B202">
        <v>1</v>
      </c>
      <c r="D202" s="175">
        <v>45603</v>
      </c>
    </row>
    <row r="203" spans="1:4" x14ac:dyDescent="0.25">
      <c r="A203" t="s">
        <v>859</v>
      </c>
      <c r="B203">
        <v>1</v>
      </c>
      <c r="D203" s="175">
        <v>45603</v>
      </c>
    </row>
    <row r="204" spans="1:4" x14ac:dyDescent="0.25">
      <c r="A204" t="s">
        <v>860</v>
      </c>
      <c r="B204">
        <v>1</v>
      </c>
      <c r="D204" s="175">
        <v>45603</v>
      </c>
    </row>
    <row r="205" spans="1:4" x14ac:dyDescent="0.25">
      <c r="A205" t="s">
        <v>861</v>
      </c>
      <c r="B205">
        <v>1</v>
      </c>
      <c r="D205" s="175">
        <v>45603</v>
      </c>
    </row>
    <row r="206" spans="1:4" x14ac:dyDescent="0.25">
      <c r="A206" t="s">
        <v>862</v>
      </c>
      <c r="B206">
        <v>1</v>
      </c>
      <c r="D206" s="175">
        <v>45603</v>
      </c>
    </row>
    <row r="207" spans="1:4" x14ac:dyDescent="0.25">
      <c r="A207" t="s">
        <v>863</v>
      </c>
      <c r="B207">
        <v>1</v>
      </c>
      <c r="D207" s="175">
        <v>45603</v>
      </c>
    </row>
    <row r="208" spans="1:4" x14ac:dyDescent="0.25">
      <c r="A208" t="s">
        <v>864</v>
      </c>
      <c r="B208">
        <v>1</v>
      </c>
      <c r="D208" s="175">
        <v>45603</v>
      </c>
    </row>
    <row r="209" spans="1:5" x14ac:dyDescent="0.25">
      <c r="A209" t="s">
        <v>865</v>
      </c>
      <c r="B209">
        <v>1</v>
      </c>
      <c r="D209" s="175">
        <v>45603</v>
      </c>
    </row>
    <row r="210" spans="1:5" x14ac:dyDescent="0.25">
      <c r="A210" t="s">
        <v>866</v>
      </c>
      <c r="B210">
        <v>1</v>
      </c>
      <c r="D210" s="175">
        <v>45603</v>
      </c>
    </row>
    <row r="211" spans="1:5" x14ac:dyDescent="0.25">
      <c r="A211" t="s">
        <v>867</v>
      </c>
      <c r="B211">
        <v>1</v>
      </c>
      <c r="D211" s="175">
        <v>45603</v>
      </c>
    </row>
    <row r="212" spans="1:5" x14ac:dyDescent="0.25">
      <c r="A212" t="s">
        <v>868</v>
      </c>
      <c r="B212">
        <v>1</v>
      </c>
      <c r="D212" s="175">
        <v>45603</v>
      </c>
    </row>
    <row r="213" spans="1:5" x14ac:dyDescent="0.25">
      <c r="A213" t="s">
        <v>869</v>
      </c>
      <c r="B213">
        <v>1</v>
      </c>
      <c r="D213" s="175">
        <v>45603</v>
      </c>
    </row>
    <row r="214" spans="1:5" x14ac:dyDescent="0.25">
      <c r="A214" t="s">
        <v>870</v>
      </c>
      <c r="B214">
        <v>1</v>
      </c>
      <c r="D214" s="175">
        <v>45603</v>
      </c>
    </row>
    <row r="215" spans="1:5" x14ac:dyDescent="0.25">
      <c r="A215" t="s">
        <v>871</v>
      </c>
      <c r="B215">
        <v>1</v>
      </c>
      <c r="D215" s="175">
        <v>45603</v>
      </c>
    </row>
    <row r="216" spans="1:5" x14ac:dyDescent="0.25">
      <c r="A216" t="s">
        <v>872</v>
      </c>
      <c r="B216">
        <v>1</v>
      </c>
      <c r="C216" s="175">
        <v>45491</v>
      </c>
      <c r="D216" s="175">
        <v>45603</v>
      </c>
      <c r="E216" s="175">
        <v>45499</v>
      </c>
    </row>
    <row r="217" spans="1:5" x14ac:dyDescent="0.25">
      <c r="A217" t="s">
        <v>873</v>
      </c>
      <c r="B217">
        <v>1</v>
      </c>
      <c r="C217" s="175">
        <v>45491</v>
      </c>
      <c r="D217" s="175">
        <v>45603</v>
      </c>
      <c r="E217" s="175">
        <v>45499</v>
      </c>
    </row>
    <row r="218" spans="1:5" x14ac:dyDescent="0.25">
      <c r="A218" t="s">
        <v>874</v>
      </c>
      <c r="B218">
        <v>1</v>
      </c>
      <c r="D218" s="175">
        <v>45603</v>
      </c>
    </row>
    <row r="219" spans="1:5" x14ac:dyDescent="0.25">
      <c r="A219" t="s">
        <v>875</v>
      </c>
      <c r="B219">
        <v>1</v>
      </c>
      <c r="D219" s="175">
        <v>45603</v>
      </c>
      <c r="E219" s="175">
        <v>45534</v>
      </c>
    </row>
    <row r="220" spans="1:5" x14ac:dyDescent="0.25">
      <c r="A220" t="s">
        <v>876</v>
      </c>
      <c r="B220">
        <v>1</v>
      </c>
      <c r="D220" s="175">
        <v>45603</v>
      </c>
      <c r="E220" s="175">
        <v>45534</v>
      </c>
    </row>
    <row r="221" spans="1:5" x14ac:dyDescent="0.25">
      <c r="A221" t="s">
        <v>877</v>
      </c>
      <c r="B221">
        <v>1</v>
      </c>
      <c r="C221" s="175">
        <v>45471</v>
      </c>
      <c r="D221" s="175">
        <v>45603</v>
      </c>
      <c r="E221" s="175">
        <v>45534</v>
      </c>
    </row>
    <row r="222" spans="1:5" x14ac:dyDescent="0.25">
      <c r="A222" t="s">
        <v>878</v>
      </c>
      <c r="B222">
        <v>1</v>
      </c>
      <c r="D222" s="175">
        <v>45603</v>
      </c>
      <c r="E222" s="175">
        <v>45534</v>
      </c>
    </row>
    <row r="223" spans="1:5" x14ac:dyDescent="0.25">
      <c r="A223" t="s">
        <v>879</v>
      </c>
      <c r="B223">
        <v>1</v>
      </c>
      <c r="D223" s="175">
        <v>45603</v>
      </c>
      <c r="E223" s="175">
        <v>45534</v>
      </c>
    </row>
    <row r="224" spans="1:5" x14ac:dyDescent="0.25">
      <c r="A224" t="s">
        <v>880</v>
      </c>
      <c r="B224">
        <v>1</v>
      </c>
      <c r="D224" s="175">
        <v>45603</v>
      </c>
      <c r="E224" s="175">
        <v>45534</v>
      </c>
    </row>
    <row r="225" spans="1:5" x14ac:dyDescent="0.25">
      <c r="A225" t="s">
        <v>881</v>
      </c>
      <c r="B225">
        <v>1</v>
      </c>
      <c r="D225" s="175">
        <v>45603</v>
      </c>
      <c r="E225" s="175">
        <v>45534</v>
      </c>
    </row>
    <row r="226" spans="1:5" x14ac:dyDescent="0.25">
      <c r="A226" t="s">
        <v>882</v>
      </c>
      <c r="B226">
        <v>1</v>
      </c>
      <c r="D226" s="175">
        <v>45603</v>
      </c>
      <c r="E226" s="175">
        <v>45534</v>
      </c>
    </row>
    <row r="227" spans="1:5" x14ac:dyDescent="0.25">
      <c r="A227" t="s">
        <v>883</v>
      </c>
      <c r="B227">
        <v>1</v>
      </c>
      <c r="D227" s="175">
        <v>45603</v>
      </c>
      <c r="E227" s="175">
        <v>45534</v>
      </c>
    </row>
    <row r="228" spans="1:5" x14ac:dyDescent="0.25">
      <c r="A228" t="s">
        <v>884</v>
      </c>
      <c r="B228">
        <v>1</v>
      </c>
      <c r="D228" s="175">
        <v>45603</v>
      </c>
      <c r="E228" s="175">
        <v>45534</v>
      </c>
    </row>
    <row r="229" spans="1:5" x14ac:dyDescent="0.25">
      <c r="A229" t="s">
        <v>885</v>
      </c>
      <c r="B229">
        <v>1</v>
      </c>
      <c r="D229" s="175">
        <v>45603</v>
      </c>
      <c r="E229" s="175">
        <v>45534</v>
      </c>
    </row>
    <row r="230" spans="1:5" x14ac:dyDescent="0.25">
      <c r="A230" t="s">
        <v>886</v>
      </c>
      <c r="B230">
        <v>1</v>
      </c>
      <c r="D230" s="175">
        <v>45603</v>
      </c>
      <c r="E230" s="175">
        <v>45534</v>
      </c>
    </row>
    <row r="231" spans="1:5" x14ac:dyDescent="0.25">
      <c r="A231" t="s">
        <v>887</v>
      </c>
      <c r="B231">
        <v>1</v>
      </c>
      <c r="D231" s="175">
        <v>45603</v>
      </c>
      <c r="E231" s="175">
        <v>45534</v>
      </c>
    </row>
    <row r="232" spans="1:5" x14ac:dyDescent="0.25">
      <c r="A232" t="s">
        <v>888</v>
      </c>
      <c r="B232">
        <v>1</v>
      </c>
      <c r="D232" s="175">
        <v>45603</v>
      </c>
      <c r="E232" s="175">
        <v>45534</v>
      </c>
    </row>
    <row r="233" spans="1:5" x14ac:dyDescent="0.25">
      <c r="A233" t="s">
        <v>889</v>
      </c>
      <c r="B233">
        <v>1</v>
      </c>
      <c r="D233" s="175">
        <v>45603</v>
      </c>
      <c r="E233" s="175">
        <v>45534</v>
      </c>
    </row>
    <row r="234" spans="1:5" x14ac:dyDescent="0.25">
      <c r="A234" t="s">
        <v>890</v>
      </c>
      <c r="B234">
        <v>1</v>
      </c>
      <c r="D234" s="175">
        <v>45603</v>
      </c>
      <c r="E234" s="175">
        <v>45534</v>
      </c>
    </row>
    <row r="235" spans="1:5" x14ac:dyDescent="0.25">
      <c r="A235" t="s">
        <v>891</v>
      </c>
      <c r="B235">
        <v>1</v>
      </c>
      <c r="D235" s="175">
        <v>45603</v>
      </c>
      <c r="E235" s="175">
        <v>45534</v>
      </c>
    </row>
    <row r="236" spans="1:5" x14ac:dyDescent="0.25">
      <c r="A236" t="s">
        <v>892</v>
      </c>
      <c r="B236">
        <v>1</v>
      </c>
      <c r="D236" s="175">
        <v>45603</v>
      </c>
      <c r="E236" s="175">
        <v>45534</v>
      </c>
    </row>
    <row r="237" spans="1:5" x14ac:dyDescent="0.25">
      <c r="A237" t="s">
        <v>893</v>
      </c>
      <c r="B237">
        <v>1</v>
      </c>
      <c r="D237" s="175">
        <v>45603</v>
      </c>
      <c r="E237" s="175">
        <v>45534</v>
      </c>
    </row>
    <row r="238" spans="1:5" x14ac:dyDescent="0.25">
      <c r="A238" t="s">
        <v>894</v>
      </c>
      <c r="B238">
        <v>0</v>
      </c>
    </row>
    <row r="239" spans="1:5" x14ac:dyDescent="0.25">
      <c r="A239" t="s">
        <v>895</v>
      </c>
      <c r="B239">
        <v>0</v>
      </c>
    </row>
    <row r="240" spans="1:5" x14ac:dyDescent="0.25">
      <c r="A240" t="s">
        <v>896</v>
      </c>
      <c r="B240">
        <v>0</v>
      </c>
    </row>
    <row r="241" spans="1:5" x14ac:dyDescent="0.25">
      <c r="A241" t="s">
        <v>897</v>
      </c>
      <c r="B241">
        <v>1</v>
      </c>
      <c r="D241" s="175">
        <v>45603</v>
      </c>
      <c r="E241" s="175">
        <v>45534</v>
      </c>
    </row>
    <row r="242" spans="1:5" x14ac:dyDescent="0.25">
      <c r="A242" t="s">
        <v>898</v>
      </c>
      <c r="B242">
        <v>1</v>
      </c>
      <c r="D242" s="175">
        <v>45603</v>
      </c>
      <c r="E242" s="175">
        <v>45534</v>
      </c>
    </row>
    <row r="243" spans="1:5" x14ac:dyDescent="0.25">
      <c r="A243" t="s">
        <v>899</v>
      </c>
      <c r="B243">
        <v>1</v>
      </c>
      <c r="D243" s="175">
        <v>45603</v>
      </c>
      <c r="E243" s="175">
        <v>45534</v>
      </c>
    </row>
    <row r="244" spans="1:5" x14ac:dyDescent="0.25">
      <c r="A244" t="s">
        <v>900</v>
      </c>
      <c r="B244">
        <v>1</v>
      </c>
      <c r="D244" s="175">
        <v>45603</v>
      </c>
      <c r="E244" s="175">
        <v>45534</v>
      </c>
    </row>
    <row r="245" spans="1:5" x14ac:dyDescent="0.25">
      <c r="A245" t="s">
        <v>901</v>
      </c>
      <c r="B245">
        <v>1</v>
      </c>
      <c r="D245" s="175">
        <v>45603</v>
      </c>
      <c r="E245" s="175">
        <v>45534</v>
      </c>
    </row>
    <row r="246" spans="1:5" x14ac:dyDescent="0.25">
      <c r="A246" t="s">
        <v>902</v>
      </c>
      <c r="B246">
        <v>1</v>
      </c>
      <c r="D246" s="175">
        <v>45603</v>
      </c>
      <c r="E246" s="175">
        <v>45534</v>
      </c>
    </row>
    <row r="247" spans="1:5" x14ac:dyDescent="0.25">
      <c r="A247" t="s">
        <v>903</v>
      </c>
      <c r="B247">
        <v>1</v>
      </c>
      <c r="D247" s="175">
        <v>45603</v>
      </c>
      <c r="E247" s="175">
        <v>45534</v>
      </c>
    </row>
    <row r="248" spans="1:5" x14ac:dyDescent="0.25">
      <c r="A248" t="s">
        <v>904</v>
      </c>
      <c r="B248">
        <v>1</v>
      </c>
      <c r="D248" s="175">
        <v>45603</v>
      </c>
      <c r="E248" s="175">
        <v>45534</v>
      </c>
    </row>
    <row r="249" spans="1:5" x14ac:dyDescent="0.25">
      <c r="A249" t="s">
        <v>905</v>
      </c>
      <c r="B249">
        <v>1</v>
      </c>
      <c r="D249" s="175">
        <v>45603</v>
      </c>
      <c r="E249" s="175">
        <v>45534</v>
      </c>
    </row>
    <row r="250" spans="1:5" x14ac:dyDescent="0.25">
      <c r="A250" t="s">
        <v>906</v>
      </c>
      <c r="B250">
        <v>1</v>
      </c>
      <c r="D250" s="175">
        <v>45603</v>
      </c>
      <c r="E250" s="175">
        <v>45534</v>
      </c>
    </row>
    <row r="251" spans="1:5" x14ac:dyDescent="0.25">
      <c r="A251" t="s">
        <v>907</v>
      </c>
      <c r="B251">
        <v>1</v>
      </c>
      <c r="D251" s="175">
        <v>45603</v>
      </c>
      <c r="E251" s="175">
        <v>45534</v>
      </c>
    </row>
    <row r="252" spans="1:5" x14ac:dyDescent="0.25">
      <c r="A252" t="s">
        <v>908</v>
      </c>
      <c r="B252">
        <v>1</v>
      </c>
      <c r="D252" s="175">
        <v>45603</v>
      </c>
      <c r="E252" s="175">
        <v>45534</v>
      </c>
    </row>
    <row r="253" spans="1:5" x14ac:dyDescent="0.25">
      <c r="A253" t="s">
        <v>909</v>
      </c>
      <c r="B253">
        <v>1</v>
      </c>
      <c r="D253" s="175">
        <v>45603</v>
      </c>
      <c r="E253" s="175">
        <v>45534</v>
      </c>
    </row>
    <row r="254" spans="1:5" x14ac:dyDescent="0.25">
      <c r="A254" t="s">
        <v>910</v>
      </c>
      <c r="B254">
        <v>1</v>
      </c>
      <c r="D254" s="175">
        <v>45603</v>
      </c>
      <c r="E254" s="175">
        <v>45534</v>
      </c>
    </row>
    <row r="255" spans="1:5" x14ac:dyDescent="0.25">
      <c r="A255" t="s">
        <v>911</v>
      </c>
      <c r="B255">
        <v>1</v>
      </c>
      <c r="D255" s="175">
        <v>45603</v>
      </c>
      <c r="E255" s="175">
        <v>45534</v>
      </c>
    </row>
    <row r="256" spans="1:5" x14ac:dyDescent="0.25">
      <c r="A256" t="s">
        <v>912</v>
      </c>
      <c r="B256">
        <v>1</v>
      </c>
      <c r="D256" s="175">
        <v>45603</v>
      </c>
      <c r="E256" s="175">
        <v>45534</v>
      </c>
    </row>
    <row r="257" spans="1:5" x14ac:dyDescent="0.25">
      <c r="A257" t="s">
        <v>913</v>
      </c>
      <c r="B257">
        <v>1</v>
      </c>
      <c r="D257" s="175">
        <v>45603</v>
      </c>
      <c r="E257" s="175">
        <v>45534</v>
      </c>
    </row>
    <row r="258" spans="1:5" x14ac:dyDescent="0.25">
      <c r="A258" t="s">
        <v>914</v>
      </c>
      <c r="B258">
        <v>1</v>
      </c>
      <c r="D258" s="175">
        <v>45603</v>
      </c>
      <c r="E258" s="175">
        <v>45534</v>
      </c>
    </row>
    <row r="259" spans="1:5" x14ac:dyDescent="0.25">
      <c r="A259" t="s">
        <v>915</v>
      </c>
      <c r="B259">
        <v>1</v>
      </c>
      <c r="D259" s="175">
        <v>45603</v>
      </c>
      <c r="E259" s="175">
        <v>45534</v>
      </c>
    </row>
    <row r="260" spans="1:5" x14ac:dyDescent="0.25">
      <c r="A260" t="s">
        <v>916</v>
      </c>
      <c r="B260">
        <v>1</v>
      </c>
      <c r="D260" s="175">
        <v>45603</v>
      </c>
      <c r="E260" s="175">
        <v>45534</v>
      </c>
    </row>
    <row r="261" spans="1:5" x14ac:dyDescent="0.25">
      <c r="A261" t="s">
        <v>917</v>
      </c>
      <c r="B261">
        <v>1</v>
      </c>
      <c r="D261" s="175">
        <v>45603</v>
      </c>
      <c r="E261" s="175">
        <v>45534</v>
      </c>
    </row>
    <row r="262" spans="1:5" x14ac:dyDescent="0.25">
      <c r="A262" t="s">
        <v>918</v>
      </c>
      <c r="B262">
        <v>1</v>
      </c>
      <c r="D262" s="175">
        <v>45603</v>
      </c>
      <c r="E262" s="175">
        <v>45534</v>
      </c>
    </row>
    <row r="263" spans="1:5" x14ac:dyDescent="0.25">
      <c r="A263" t="s">
        <v>919</v>
      </c>
      <c r="B263">
        <v>1</v>
      </c>
      <c r="D263" s="175">
        <v>45603</v>
      </c>
      <c r="E263" s="175">
        <v>45534</v>
      </c>
    </row>
    <row r="264" spans="1:5" x14ac:dyDescent="0.25">
      <c r="A264" t="s">
        <v>920</v>
      </c>
      <c r="B264">
        <v>1</v>
      </c>
      <c r="D264" s="175">
        <v>45603</v>
      </c>
      <c r="E264" s="175">
        <v>45534</v>
      </c>
    </row>
    <row r="265" spans="1:5" x14ac:dyDescent="0.25">
      <c r="A265" t="s">
        <v>921</v>
      </c>
      <c r="B265">
        <v>1</v>
      </c>
      <c r="D265" s="175">
        <v>45603</v>
      </c>
      <c r="E265" s="175">
        <v>45534</v>
      </c>
    </row>
    <row r="266" spans="1:5" x14ac:dyDescent="0.25">
      <c r="A266" t="s">
        <v>922</v>
      </c>
      <c r="B266">
        <v>1</v>
      </c>
      <c r="D266" s="175">
        <v>45603</v>
      </c>
      <c r="E266" s="175">
        <v>45534</v>
      </c>
    </row>
    <row r="267" spans="1:5" x14ac:dyDescent="0.25">
      <c r="A267" t="s">
        <v>923</v>
      </c>
      <c r="B267">
        <v>1</v>
      </c>
      <c r="D267" s="175">
        <v>45603</v>
      </c>
      <c r="E267" s="175">
        <v>45534</v>
      </c>
    </row>
    <row r="268" spans="1:5" x14ac:dyDescent="0.25">
      <c r="A268" t="s">
        <v>924</v>
      </c>
      <c r="B268">
        <v>1</v>
      </c>
      <c r="D268" s="175">
        <v>45603</v>
      </c>
      <c r="E268" s="175">
        <v>45534</v>
      </c>
    </row>
    <row r="269" spans="1:5" x14ac:dyDescent="0.25">
      <c r="A269" t="s">
        <v>925</v>
      </c>
      <c r="B269">
        <v>1</v>
      </c>
      <c r="D269" s="175">
        <v>45603</v>
      </c>
      <c r="E269" s="175">
        <v>45534</v>
      </c>
    </row>
    <row r="270" spans="1:5" x14ac:dyDescent="0.25">
      <c r="A270" t="s">
        <v>926</v>
      </c>
      <c r="B270">
        <v>1</v>
      </c>
      <c r="D270" s="175">
        <v>45603</v>
      </c>
      <c r="E270" s="175">
        <v>45534</v>
      </c>
    </row>
    <row r="271" spans="1:5" x14ac:dyDescent="0.25">
      <c r="A271" t="s">
        <v>927</v>
      </c>
      <c r="B271">
        <v>1</v>
      </c>
      <c r="D271" s="175">
        <v>45603</v>
      </c>
      <c r="E271" s="175">
        <v>45534</v>
      </c>
    </row>
    <row r="272" spans="1:5" x14ac:dyDescent="0.25">
      <c r="A272" t="s">
        <v>928</v>
      </c>
      <c r="B272">
        <v>1</v>
      </c>
      <c r="D272" s="175">
        <v>45603</v>
      </c>
      <c r="E272" s="175">
        <v>45534</v>
      </c>
    </row>
    <row r="273" spans="1:5" x14ac:dyDescent="0.25">
      <c r="A273" t="s">
        <v>929</v>
      </c>
      <c r="B273">
        <v>1</v>
      </c>
      <c r="D273" s="175">
        <v>45603</v>
      </c>
      <c r="E273" s="175">
        <v>45534</v>
      </c>
    </row>
    <row r="274" spans="1:5" x14ac:dyDescent="0.25">
      <c r="A274" t="s">
        <v>930</v>
      </c>
      <c r="B274">
        <v>1</v>
      </c>
      <c r="D274" s="175">
        <v>45603</v>
      </c>
      <c r="E274" s="175">
        <v>45534</v>
      </c>
    </row>
    <row r="275" spans="1:5" x14ac:dyDescent="0.25">
      <c r="A275" t="s">
        <v>931</v>
      </c>
      <c r="B275">
        <v>1</v>
      </c>
      <c r="D275" s="175">
        <v>45603</v>
      </c>
      <c r="E275" s="175">
        <v>45534</v>
      </c>
    </row>
    <row r="276" spans="1:5" x14ac:dyDescent="0.25">
      <c r="A276" t="s">
        <v>932</v>
      </c>
      <c r="B276">
        <v>1</v>
      </c>
      <c r="D276" s="175">
        <v>45603</v>
      </c>
      <c r="E276" s="175">
        <v>45534</v>
      </c>
    </row>
    <row r="277" spans="1:5" x14ac:dyDescent="0.25">
      <c r="A277" t="s">
        <v>933</v>
      </c>
      <c r="B277">
        <v>1</v>
      </c>
      <c r="D277" s="175">
        <v>45603</v>
      </c>
      <c r="E277" s="175">
        <v>45534</v>
      </c>
    </row>
    <row r="278" spans="1:5" x14ac:dyDescent="0.25">
      <c r="A278" t="s">
        <v>934</v>
      </c>
      <c r="B278">
        <v>1</v>
      </c>
      <c r="D278" s="175">
        <v>45603</v>
      </c>
      <c r="E278" s="175">
        <v>45534</v>
      </c>
    </row>
    <row r="279" spans="1:5" x14ac:dyDescent="0.25">
      <c r="A279" t="s">
        <v>935</v>
      </c>
      <c r="B279">
        <v>1</v>
      </c>
      <c r="D279" s="175">
        <v>45603</v>
      </c>
      <c r="E279" s="175">
        <v>45534</v>
      </c>
    </row>
    <row r="280" spans="1:5" x14ac:dyDescent="0.25">
      <c r="A280" t="s">
        <v>936</v>
      </c>
      <c r="B280">
        <v>1</v>
      </c>
      <c r="D280" s="175">
        <v>45603</v>
      </c>
      <c r="E280" s="175">
        <v>45534</v>
      </c>
    </row>
    <row r="281" spans="1:5" x14ac:dyDescent="0.25">
      <c r="A281" t="s">
        <v>937</v>
      </c>
      <c r="B281">
        <v>1</v>
      </c>
      <c r="D281" s="175">
        <v>45603</v>
      </c>
      <c r="E281" s="175">
        <v>45534</v>
      </c>
    </row>
    <row r="282" spans="1:5" x14ac:dyDescent="0.25">
      <c r="A282" t="s">
        <v>938</v>
      </c>
      <c r="B282">
        <v>1</v>
      </c>
      <c r="D282" s="175">
        <v>45603</v>
      </c>
      <c r="E282" s="175">
        <v>45534</v>
      </c>
    </row>
    <row r="283" spans="1:5" x14ac:dyDescent="0.25">
      <c r="A283" t="s">
        <v>939</v>
      </c>
      <c r="B283">
        <v>1</v>
      </c>
      <c r="D283" s="175">
        <v>45603</v>
      </c>
      <c r="E283" s="175">
        <v>45534</v>
      </c>
    </row>
    <row r="284" spans="1:5" x14ac:dyDescent="0.25">
      <c r="A284" t="s">
        <v>940</v>
      </c>
      <c r="B284">
        <v>1</v>
      </c>
      <c r="D284" s="175">
        <v>45603</v>
      </c>
      <c r="E284" s="175">
        <v>45534</v>
      </c>
    </row>
    <row r="285" spans="1:5" x14ac:dyDescent="0.25">
      <c r="A285" t="s">
        <v>941</v>
      </c>
      <c r="B285">
        <v>1</v>
      </c>
      <c r="D285" s="175">
        <v>45603</v>
      </c>
      <c r="E285" s="175">
        <v>45534</v>
      </c>
    </row>
    <row r="286" spans="1:5" x14ac:dyDescent="0.25">
      <c r="A286" t="s">
        <v>942</v>
      </c>
      <c r="B286">
        <v>1</v>
      </c>
      <c r="D286" s="175">
        <v>45603</v>
      </c>
      <c r="E286" s="175">
        <v>45534</v>
      </c>
    </row>
    <row r="287" spans="1:5" x14ac:dyDescent="0.25">
      <c r="A287" t="s">
        <v>943</v>
      </c>
      <c r="B287">
        <v>1</v>
      </c>
      <c r="D287" s="175">
        <v>45603</v>
      </c>
      <c r="E287" s="175">
        <v>45534</v>
      </c>
    </row>
    <row r="288" spans="1:5" x14ac:dyDescent="0.25">
      <c r="A288" t="s">
        <v>944</v>
      </c>
      <c r="B288">
        <v>1</v>
      </c>
      <c r="D288" s="175">
        <v>45603</v>
      </c>
      <c r="E288" s="175">
        <v>45534</v>
      </c>
    </row>
    <row r="289" spans="1:4" x14ac:dyDescent="0.25">
      <c r="A289" t="s">
        <v>945</v>
      </c>
      <c r="B289">
        <v>1</v>
      </c>
      <c r="D289" s="175">
        <v>45603</v>
      </c>
    </row>
    <row r="290" spans="1:4" x14ac:dyDescent="0.25">
      <c r="A290" t="s">
        <v>946</v>
      </c>
      <c r="B290">
        <v>1</v>
      </c>
      <c r="D290" s="175">
        <v>45603</v>
      </c>
    </row>
    <row r="291" spans="1:4" x14ac:dyDescent="0.25">
      <c r="A291" t="s">
        <v>947</v>
      </c>
      <c r="B291">
        <v>1</v>
      </c>
      <c r="D291" s="175">
        <v>45603</v>
      </c>
    </row>
    <row r="292" spans="1:4" x14ac:dyDescent="0.25">
      <c r="A292" t="s">
        <v>948</v>
      </c>
      <c r="B292">
        <v>1</v>
      </c>
      <c r="D292" s="175">
        <v>45603</v>
      </c>
    </row>
    <row r="293" spans="1:4" x14ac:dyDescent="0.25">
      <c r="A293" t="s">
        <v>949</v>
      </c>
      <c r="B293">
        <v>1</v>
      </c>
      <c r="D293" s="175">
        <v>45603</v>
      </c>
    </row>
    <row r="294" spans="1:4" x14ac:dyDescent="0.25">
      <c r="A294" t="s">
        <v>950</v>
      </c>
      <c r="B294">
        <v>1</v>
      </c>
      <c r="D294" s="175">
        <v>45603</v>
      </c>
    </row>
    <row r="295" spans="1:4" x14ac:dyDescent="0.25">
      <c r="A295" t="s">
        <v>951</v>
      </c>
      <c r="B295">
        <v>1</v>
      </c>
      <c r="D295" s="175">
        <v>45603</v>
      </c>
    </row>
    <row r="296" spans="1:4" x14ac:dyDescent="0.25">
      <c r="A296" t="s">
        <v>952</v>
      </c>
      <c r="B296">
        <v>1</v>
      </c>
    </row>
    <row r="297" spans="1:4" x14ac:dyDescent="0.25">
      <c r="A297" t="s">
        <v>953</v>
      </c>
      <c r="B297">
        <v>1</v>
      </c>
    </row>
    <row r="298" spans="1:4" x14ac:dyDescent="0.25">
      <c r="A298" t="s">
        <v>954</v>
      </c>
      <c r="B298">
        <v>1</v>
      </c>
    </row>
    <row r="299" spans="1:4" x14ac:dyDescent="0.25">
      <c r="A299" t="s">
        <v>955</v>
      </c>
      <c r="B299">
        <v>1</v>
      </c>
    </row>
    <row r="300" spans="1:4" x14ac:dyDescent="0.25">
      <c r="A300" t="s">
        <v>956</v>
      </c>
      <c r="B300">
        <v>7</v>
      </c>
      <c r="C300" s="175">
        <v>45569</v>
      </c>
      <c r="D300" s="175">
        <v>45621</v>
      </c>
    </row>
    <row r="301" spans="1:4" x14ac:dyDescent="0.25">
      <c r="A301" t="s">
        <v>957</v>
      </c>
      <c r="B301">
        <v>7</v>
      </c>
      <c r="C301" s="175">
        <v>45569</v>
      </c>
      <c r="D301" s="175">
        <v>45621</v>
      </c>
    </row>
    <row r="302" spans="1:4" x14ac:dyDescent="0.25">
      <c r="A302" t="s">
        <v>958</v>
      </c>
      <c r="B302">
        <v>1</v>
      </c>
    </row>
    <row r="303" spans="1:4" x14ac:dyDescent="0.25">
      <c r="A303" t="s">
        <v>959</v>
      </c>
      <c r="B303">
        <v>7</v>
      </c>
      <c r="C303" s="175">
        <v>45569</v>
      </c>
      <c r="D303" s="175">
        <v>45621</v>
      </c>
    </row>
    <row r="304" spans="1:4" x14ac:dyDescent="0.25">
      <c r="A304" t="s">
        <v>960</v>
      </c>
      <c r="B304">
        <v>7</v>
      </c>
      <c r="C304" s="175">
        <v>45569</v>
      </c>
      <c r="D304" s="175">
        <v>45621</v>
      </c>
    </row>
    <row r="305" spans="1:5" x14ac:dyDescent="0.25">
      <c r="A305" t="s">
        <v>961</v>
      </c>
      <c r="B305">
        <v>2</v>
      </c>
      <c r="C305" s="175">
        <v>45604</v>
      </c>
      <c r="D305" s="175">
        <v>45600</v>
      </c>
      <c r="E305" s="175">
        <v>45601</v>
      </c>
    </row>
    <row r="306" spans="1:5" x14ac:dyDescent="0.25">
      <c r="A306" t="s">
        <v>962</v>
      </c>
      <c r="B306">
        <v>2</v>
      </c>
      <c r="C306" s="175">
        <v>45604</v>
      </c>
      <c r="D306" s="175">
        <v>45600</v>
      </c>
      <c r="E306" s="175">
        <v>45601</v>
      </c>
    </row>
    <row r="307" spans="1:5" x14ac:dyDescent="0.25">
      <c r="A307" t="s">
        <v>963</v>
      </c>
      <c r="B307">
        <v>1</v>
      </c>
      <c r="C307" s="175">
        <v>45569</v>
      </c>
      <c r="D307" s="175">
        <v>45600</v>
      </c>
      <c r="E307" s="175">
        <v>45601</v>
      </c>
    </row>
    <row r="308" spans="1:5" x14ac:dyDescent="0.25">
      <c r="A308" t="s">
        <v>964</v>
      </c>
      <c r="B308">
        <v>1</v>
      </c>
    </row>
    <row r="309" spans="1:5" x14ac:dyDescent="0.25">
      <c r="A309" t="s">
        <v>965</v>
      </c>
      <c r="B309">
        <v>2</v>
      </c>
      <c r="C309" s="175">
        <v>45604</v>
      </c>
      <c r="D309" s="175">
        <v>45600</v>
      </c>
      <c r="E309" s="175">
        <v>45601</v>
      </c>
    </row>
    <row r="310" spans="1:5" x14ac:dyDescent="0.25">
      <c r="A310" t="s">
        <v>966</v>
      </c>
      <c r="B310">
        <v>2</v>
      </c>
      <c r="C310" s="175">
        <v>45604</v>
      </c>
      <c r="D310" s="175">
        <v>45600</v>
      </c>
      <c r="E310" s="175">
        <v>45601</v>
      </c>
    </row>
    <row r="311" spans="1:5" x14ac:dyDescent="0.25">
      <c r="A311" t="s">
        <v>967</v>
      </c>
      <c r="B311">
        <v>1</v>
      </c>
    </row>
    <row r="312" spans="1:5" x14ac:dyDescent="0.25">
      <c r="A312" t="s">
        <v>968</v>
      </c>
      <c r="B312">
        <v>2</v>
      </c>
      <c r="C312" s="175">
        <v>45604</v>
      </c>
      <c r="D312" s="175">
        <v>45600</v>
      </c>
      <c r="E312" s="175">
        <v>45601</v>
      </c>
    </row>
    <row r="313" spans="1:5" x14ac:dyDescent="0.25">
      <c r="A313" t="s">
        <v>969</v>
      </c>
      <c r="B313">
        <v>2</v>
      </c>
      <c r="C313" s="175">
        <v>45604</v>
      </c>
      <c r="D313" s="175">
        <v>45600</v>
      </c>
      <c r="E313" s="175">
        <v>45601</v>
      </c>
    </row>
    <row r="314" spans="1:5" x14ac:dyDescent="0.25">
      <c r="A314" t="s">
        <v>970</v>
      </c>
      <c r="B314">
        <v>1</v>
      </c>
      <c r="C314" s="175">
        <v>45569</v>
      </c>
      <c r="D314" s="175">
        <v>45600</v>
      </c>
      <c r="E314" s="175">
        <v>45601</v>
      </c>
    </row>
    <row r="315" spans="1:5" x14ac:dyDescent="0.25">
      <c r="A315" t="s">
        <v>971</v>
      </c>
      <c r="B315">
        <v>7</v>
      </c>
      <c r="C315" s="175">
        <v>45561</v>
      </c>
      <c r="D315" s="175">
        <v>45614</v>
      </c>
    </row>
    <row r="316" spans="1:5" x14ac:dyDescent="0.25">
      <c r="A316" t="s">
        <v>972</v>
      </c>
      <c r="B316">
        <v>7</v>
      </c>
      <c r="C316" s="175">
        <v>45561</v>
      </c>
      <c r="D316" s="175">
        <v>45614</v>
      </c>
    </row>
    <row r="317" spans="1:5" x14ac:dyDescent="0.25">
      <c r="A317" t="s">
        <v>973</v>
      </c>
      <c r="B317">
        <v>7</v>
      </c>
      <c r="C317" s="175">
        <v>45561</v>
      </c>
      <c r="D317" s="175">
        <v>45614</v>
      </c>
    </row>
    <row r="318" spans="1:5" x14ac:dyDescent="0.25">
      <c r="A318" t="s">
        <v>974</v>
      </c>
      <c r="B318">
        <v>7</v>
      </c>
      <c r="C318" s="175">
        <v>45561</v>
      </c>
      <c r="D318" s="175">
        <v>45614</v>
      </c>
    </row>
    <row r="319" spans="1:5" x14ac:dyDescent="0.25">
      <c r="A319" t="s">
        <v>975</v>
      </c>
      <c r="B319">
        <v>7</v>
      </c>
      <c r="C319" s="175">
        <v>45561</v>
      </c>
      <c r="D319" s="175">
        <v>45614</v>
      </c>
    </row>
    <row r="320" spans="1:5" x14ac:dyDescent="0.25">
      <c r="A320" t="s">
        <v>976</v>
      </c>
      <c r="B320">
        <v>7</v>
      </c>
      <c r="C320" s="175">
        <v>45561</v>
      </c>
      <c r="D320" s="175">
        <v>45614</v>
      </c>
    </row>
    <row r="321" spans="1:4" x14ac:dyDescent="0.25">
      <c r="A321" t="s">
        <v>977</v>
      </c>
      <c r="B321">
        <v>7</v>
      </c>
      <c r="C321" s="175">
        <v>45561</v>
      </c>
      <c r="D321" s="175">
        <v>45614</v>
      </c>
    </row>
    <row r="322" spans="1:4" x14ac:dyDescent="0.25">
      <c r="A322" t="s">
        <v>978</v>
      </c>
      <c r="B322">
        <v>7</v>
      </c>
      <c r="C322" s="175">
        <v>45561</v>
      </c>
      <c r="D322" s="175">
        <v>45614</v>
      </c>
    </row>
    <row r="323" spans="1:4" x14ac:dyDescent="0.25">
      <c r="A323" t="s">
        <v>979</v>
      </c>
      <c r="B323">
        <v>7</v>
      </c>
      <c r="C323" s="175">
        <v>45561</v>
      </c>
      <c r="D323" s="175">
        <v>45614</v>
      </c>
    </row>
    <row r="324" spans="1:4" x14ac:dyDescent="0.25">
      <c r="A324" t="s">
        <v>980</v>
      </c>
      <c r="B324">
        <v>7</v>
      </c>
      <c r="C324" s="175">
        <v>45561</v>
      </c>
      <c r="D324" s="175">
        <v>45614</v>
      </c>
    </row>
    <row r="325" spans="1:4" x14ac:dyDescent="0.25">
      <c r="A325" t="s">
        <v>981</v>
      </c>
      <c r="B325">
        <v>7</v>
      </c>
      <c r="C325" s="175">
        <v>45561</v>
      </c>
      <c r="D325" s="175">
        <v>45614</v>
      </c>
    </row>
    <row r="326" spans="1:4" x14ac:dyDescent="0.25">
      <c r="A326" t="s">
        <v>982</v>
      </c>
      <c r="B326">
        <v>7</v>
      </c>
      <c r="C326" s="175">
        <v>45561</v>
      </c>
      <c r="D326" s="175">
        <v>45614</v>
      </c>
    </row>
    <row r="327" spans="1:4" x14ac:dyDescent="0.25">
      <c r="A327" t="s">
        <v>983</v>
      </c>
      <c r="B327">
        <v>7</v>
      </c>
      <c r="C327" s="175">
        <v>45561</v>
      </c>
      <c r="D327" s="175">
        <v>45614</v>
      </c>
    </row>
    <row r="328" spans="1:4" x14ac:dyDescent="0.25">
      <c r="A328" t="s">
        <v>984</v>
      </c>
      <c r="B328">
        <v>7</v>
      </c>
      <c r="C328" s="175">
        <v>45561</v>
      </c>
      <c r="D328" s="175">
        <v>45614</v>
      </c>
    </row>
    <row r="329" spans="1:4" x14ac:dyDescent="0.25">
      <c r="A329" t="s">
        <v>985</v>
      </c>
      <c r="B329">
        <v>7</v>
      </c>
      <c r="C329" s="175">
        <v>45561</v>
      </c>
      <c r="D329" s="175">
        <v>45614</v>
      </c>
    </row>
    <row r="330" spans="1:4" x14ac:dyDescent="0.25">
      <c r="A330" t="s">
        <v>986</v>
      </c>
      <c r="B330">
        <v>7</v>
      </c>
      <c r="C330" s="175">
        <v>45553</v>
      </c>
      <c r="D330" s="175">
        <v>45614</v>
      </c>
    </row>
    <row r="331" spans="1:4" x14ac:dyDescent="0.25">
      <c r="A331" t="s">
        <v>987</v>
      </c>
      <c r="B331">
        <v>7</v>
      </c>
      <c r="C331" s="175">
        <v>45553</v>
      </c>
      <c r="D331" s="175">
        <v>45614</v>
      </c>
    </row>
    <row r="332" spans="1:4" x14ac:dyDescent="0.25">
      <c r="A332" t="s">
        <v>988</v>
      </c>
      <c r="B332">
        <v>7</v>
      </c>
      <c r="C332" s="175">
        <v>45569</v>
      </c>
      <c r="D332" s="175">
        <v>45624</v>
      </c>
    </row>
    <row r="333" spans="1:4" x14ac:dyDescent="0.25">
      <c r="A333" t="s">
        <v>989</v>
      </c>
      <c r="B333">
        <v>7</v>
      </c>
      <c r="C333" s="175">
        <v>45569</v>
      </c>
      <c r="D333" s="175">
        <v>45624</v>
      </c>
    </row>
    <row r="334" spans="1:4" x14ac:dyDescent="0.25">
      <c r="A334" t="s">
        <v>990</v>
      </c>
      <c r="B334">
        <v>1</v>
      </c>
      <c r="C334" s="175">
        <v>45512</v>
      </c>
    </row>
    <row r="335" spans="1:4" x14ac:dyDescent="0.25">
      <c r="A335" t="s">
        <v>991</v>
      </c>
      <c r="B335">
        <v>7</v>
      </c>
      <c r="C335" s="175">
        <v>45569</v>
      </c>
      <c r="D335" s="175">
        <v>45614</v>
      </c>
    </row>
    <row r="336" spans="1:4" x14ac:dyDescent="0.25">
      <c r="A336" t="s">
        <v>992</v>
      </c>
      <c r="B336">
        <v>7</v>
      </c>
      <c r="C336" s="175">
        <v>45553</v>
      </c>
      <c r="D336" s="175">
        <v>45614</v>
      </c>
    </row>
    <row r="337" spans="1:4" x14ac:dyDescent="0.25">
      <c r="A337" t="s">
        <v>993</v>
      </c>
      <c r="B337">
        <v>7</v>
      </c>
      <c r="C337" s="175">
        <v>45553</v>
      </c>
      <c r="D337" s="175">
        <v>45614</v>
      </c>
    </row>
    <row r="338" spans="1:4" x14ac:dyDescent="0.25">
      <c r="A338" t="s">
        <v>994</v>
      </c>
      <c r="B338">
        <v>7</v>
      </c>
      <c r="C338" s="175">
        <v>45569</v>
      </c>
      <c r="D338" s="175">
        <v>45624</v>
      </c>
    </row>
    <row r="339" spans="1:4" x14ac:dyDescent="0.25">
      <c r="A339" t="s">
        <v>995</v>
      </c>
      <c r="B339">
        <v>7</v>
      </c>
      <c r="C339" s="175">
        <v>45569</v>
      </c>
      <c r="D339" s="175">
        <v>45624</v>
      </c>
    </row>
    <row r="340" spans="1:4" x14ac:dyDescent="0.25">
      <c r="A340" t="s">
        <v>996</v>
      </c>
      <c r="B340">
        <v>7</v>
      </c>
      <c r="C340" s="175">
        <v>45569</v>
      </c>
      <c r="D340" s="175">
        <v>45621</v>
      </c>
    </row>
    <row r="341" spans="1:4" x14ac:dyDescent="0.25">
      <c r="A341" t="s">
        <v>997</v>
      </c>
      <c r="B341">
        <v>7</v>
      </c>
      <c r="C341" s="175">
        <v>45569</v>
      </c>
      <c r="D341" s="175">
        <v>45621</v>
      </c>
    </row>
    <row r="342" spans="1:4" x14ac:dyDescent="0.25">
      <c r="A342" t="s">
        <v>998</v>
      </c>
      <c r="B342">
        <v>7</v>
      </c>
      <c r="C342" s="175">
        <v>45569</v>
      </c>
      <c r="D342" s="175">
        <v>45621</v>
      </c>
    </row>
    <row r="343" spans="1:4" x14ac:dyDescent="0.25">
      <c r="A343" t="s">
        <v>999</v>
      </c>
      <c r="B343">
        <v>1</v>
      </c>
    </row>
    <row r="344" spans="1:4" x14ac:dyDescent="0.25">
      <c r="A344" t="s">
        <v>1000</v>
      </c>
      <c r="B344">
        <v>7</v>
      </c>
      <c r="C344" s="175">
        <v>45569</v>
      </c>
      <c r="D344" s="175">
        <v>45621</v>
      </c>
    </row>
    <row r="345" spans="1:4" x14ac:dyDescent="0.25">
      <c r="A345" t="s">
        <v>1001</v>
      </c>
      <c r="B345">
        <v>7</v>
      </c>
      <c r="C345" s="175">
        <v>45569</v>
      </c>
      <c r="D345" s="175">
        <v>45621</v>
      </c>
    </row>
    <row r="346" spans="1:4" x14ac:dyDescent="0.25">
      <c r="A346" t="s">
        <v>1002</v>
      </c>
      <c r="B346">
        <v>7</v>
      </c>
      <c r="C346" s="175">
        <v>45569</v>
      </c>
      <c r="D346" s="175">
        <v>45621</v>
      </c>
    </row>
    <row r="347" spans="1:4" x14ac:dyDescent="0.25">
      <c r="A347" t="s">
        <v>1003</v>
      </c>
      <c r="B347">
        <v>1</v>
      </c>
    </row>
    <row r="348" spans="1:4" x14ac:dyDescent="0.25">
      <c r="A348" t="s">
        <v>1004</v>
      </c>
      <c r="B348">
        <v>1</v>
      </c>
    </row>
    <row r="349" spans="1:4" x14ac:dyDescent="0.25">
      <c r="A349" t="s">
        <v>1005</v>
      </c>
      <c r="B349">
        <v>1</v>
      </c>
    </row>
    <row r="350" spans="1:4" x14ac:dyDescent="0.25">
      <c r="A350" t="s">
        <v>1006</v>
      </c>
      <c r="B350">
        <v>1</v>
      </c>
    </row>
    <row r="351" spans="1:4" x14ac:dyDescent="0.25">
      <c r="A351" t="s">
        <v>1007</v>
      </c>
      <c r="B351">
        <v>1</v>
      </c>
    </row>
    <row r="352" spans="1:4" x14ac:dyDescent="0.25">
      <c r="A352" t="s">
        <v>1008</v>
      </c>
      <c r="B352">
        <v>7</v>
      </c>
      <c r="C352" s="175">
        <v>45559</v>
      </c>
      <c r="D352" s="175">
        <v>45607</v>
      </c>
    </row>
    <row r="353" spans="1:4" x14ac:dyDescent="0.25">
      <c r="A353" t="s">
        <v>1009</v>
      </c>
      <c r="B353">
        <v>7</v>
      </c>
      <c r="C353" s="175">
        <v>45560</v>
      </c>
      <c r="D353" s="175">
        <v>45607</v>
      </c>
    </row>
    <row r="354" spans="1:4" x14ac:dyDescent="0.25">
      <c r="A354" t="s">
        <v>1010</v>
      </c>
      <c r="B354">
        <v>7</v>
      </c>
      <c r="C354" s="175">
        <v>45569</v>
      </c>
      <c r="D354" s="175">
        <v>45607</v>
      </c>
    </row>
    <row r="355" spans="1:4" x14ac:dyDescent="0.25">
      <c r="A355" t="s">
        <v>1011</v>
      </c>
      <c r="B355">
        <v>7</v>
      </c>
      <c r="C355" s="175">
        <v>45569</v>
      </c>
      <c r="D355" s="175">
        <v>45607</v>
      </c>
    </row>
    <row r="356" spans="1:4" x14ac:dyDescent="0.25">
      <c r="A356" t="s">
        <v>1012</v>
      </c>
      <c r="B356">
        <v>7</v>
      </c>
      <c r="C356" s="175">
        <v>45569</v>
      </c>
      <c r="D356" s="175">
        <v>45607</v>
      </c>
    </row>
    <row r="357" spans="1:4" x14ac:dyDescent="0.25">
      <c r="A357" t="s">
        <v>1013</v>
      </c>
      <c r="B357">
        <v>1</v>
      </c>
    </row>
    <row r="358" spans="1:4" x14ac:dyDescent="0.25">
      <c r="A358" t="s">
        <v>1014</v>
      </c>
      <c r="B358">
        <v>7</v>
      </c>
      <c r="C358" s="175">
        <v>45569</v>
      </c>
      <c r="D358" s="175">
        <v>45607</v>
      </c>
    </row>
    <row r="359" spans="1:4" x14ac:dyDescent="0.25">
      <c r="A359" t="s">
        <v>1015</v>
      </c>
      <c r="B359">
        <v>7</v>
      </c>
      <c r="C359" s="175">
        <v>45569</v>
      </c>
      <c r="D359" s="175">
        <v>45607</v>
      </c>
    </row>
    <row r="360" spans="1:4" x14ac:dyDescent="0.25">
      <c r="A360" t="s">
        <v>1016</v>
      </c>
      <c r="B360">
        <v>7</v>
      </c>
      <c r="C360" s="175">
        <v>45569</v>
      </c>
      <c r="D360" s="175">
        <v>45607</v>
      </c>
    </row>
    <row r="361" spans="1:4" x14ac:dyDescent="0.25">
      <c r="A361" t="s">
        <v>1017</v>
      </c>
      <c r="B361">
        <v>1</v>
      </c>
    </row>
    <row r="362" spans="1:4" x14ac:dyDescent="0.25">
      <c r="A362" t="s">
        <v>1018</v>
      </c>
      <c r="B362">
        <v>1</v>
      </c>
    </row>
    <row r="363" spans="1:4" x14ac:dyDescent="0.25">
      <c r="A363" t="s">
        <v>1019</v>
      </c>
      <c r="B363">
        <v>1</v>
      </c>
    </row>
    <row r="364" spans="1:4" x14ac:dyDescent="0.25">
      <c r="A364" t="s">
        <v>1020</v>
      </c>
      <c r="B364">
        <v>7</v>
      </c>
      <c r="C364" s="175">
        <v>45563</v>
      </c>
      <c r="D364" s="175">
        <v>45624</v>
      </c>
    </row>
    <row r="365" spans="1:4" x14ac:dyDescent="0.25">
      <c r="A365" t="s">
        <v>1021</v>
      </c>
      <c r="B365">
        <v>7</v>
      </c>
      <c r="C365" s="175">
        <v>45563</v>
      </c>
      <c r="D365" s="175">
        <v>45624</v>
      </c>
    </row>
    <row r="366" spans="1:4" x14ac:dyDescent="0.25">
      <c r="A366" t="s">
        <v>1022</v>
      </c>
      <c r="B366">
        <v>7</v>
      </c>
      <c r="C366" s="175">
        <v>45563</v>
      </c>
      <c r="D366" s="175">
        <v>45624</v>
      </c>
    </row>
    <row r="367" spans="1:4" x14ac:dyDescent="0.25">
      <c r="A367" t="s">
        <v>1023</v>
      </c>
      <c r="B367">
        <v>7</v>
      </c>
      <c r="C367" s="175">
        <v>45563</v>
      </c>
      <c r="D367" s="175">
        <v>45624</v>
      </c>
    </row>
    <row r="368" spans="1:4" x14ac:dyDescent="0.25">
      <c r="A368" t="s">
        <v>1024</v>
      </c>
      <c r="B368">
        <v>7</v>
      </c>
      <c r="C368" s="175">
        <v>45563</v>
      </c>
      <c r="D368" s="175">
        <v>45624</v>
      </c>
    </row>
    <row r="369" spans="1:5" x14ac:dyDescent="0.25">
      <c r="A369" t="s">
        <v>1025</v>
      </c>
      <c r="B369">
        <v>7</v>
      </c>
      <c r="C369" s="175">
        <v>45563</v>
      </c>
      <c r="D369" s="175">
        <v>45624</v>
      </c>
    </row>
    <row r="370" spans="1:5" x14ac:dyDescent="0.25">
      <c r="A370" t="s">
        <v>1026</v>
      </c>
      <c r="B370">
        <v>7</v>
      </c>
      <c r="C370" s="175">
        <v>45562</v>
      </c>
      <c r="D370" s="175">
        <v>45624</v>
      </c>
    </row>
    <row r="371" spans="1:5" x14ac:dyDescent="0.25">
      <c r="A371" t="s">
        <v>1027</v>
      </c>
      <c r="B371">
        <v>7</v>
      </c>
      <c r="C371" s="175">
        <v>45563</v>
      </c>
      <c r="D371" s="175">
        <v>45624</v>
      </c>
    </row>
    <row r="372" spans="1:5" x14ac:dyDescent="0.25">
      <c r="A372" t="s">
        <v>1028</v>
      </c>
      <c r="B372">
        <v>7</v>
      </c>
      <c r="C372" s="175">
        <v>45563</v>
      </c>
      <c r="D372" s="175">
        <v>45624</v>
      </c>
    </row>
    <row r="373" spans="1:5" x14ac:dyDescent="0.25">
      <c r="A373" t="s">
        <v>1029</v>
      </c>
      <c r="B373">
        <v>7</v>
      </c>
      <c r="C373" s="175">
        <v>45563</v>
      </c>
      <c r="D373" s="175">
        <v>45624</v>
      </c>
    </row>
    <row r="374" spans="1:5" x14ac:dyDescent="0.25">
      <c r="A374" t="s">
        <v>1030</v>
      </c>
      <c r="B374">
        <v>7</v>
      </c>
      <c r="C374" s="175">
        <v>45563</v>
      </c>
      <c r="D374" s="175">
        <v>45624</v>
      </c>
    </row>
    <row r="375" spans="1:5" x14ac:dyDescent="0.25">
      <c r="A375" t="s">
        <v>1031</v>
      </c>
      <c r="B375">
        <v>0</v>
      </c>
      <c r="C375" s="175">
        <v>45562</v>
      </c>
    </row>
    <row r="376" spans="1:5" x14ac:dyDescent="0.25">
      <c r="A376" t="s">
        <v>1032</v>
      </c>
      <c r="B376">
        <v>1</v>
      </c>
    </row>
    <row r="377" spans="1:5" x14ac:dyDescent="0.25">
      <c r="A377" t="s">
        <v>1033</v>
      </c>
      <c r="B377">
        <v>7</v>
      </c>
      <c r="C377" s="175">
        <v>45561</v>
      </c>
      <c r="D377" s="175">
        <v>45624</v>
      </c>
    </row>
    <row r="378" spans="1:5" x14ac:dyDescent="0.25">
      <c r="A378" t="s">
        <v>1034</v>
      </c>
      <c r="B378">
        <v>7</v>
      </c>
      <c r="C378" s="175">
        <v>45561</v>
      </c>
      <c r="D378" s="175">
        <v>45624</v>
      </c>
    </row>
    <row r="379" spans="1:5" x14ac:dyDescent="0.25">
      <c r="A379" t="s">
        <v>1035</v>
      </c>
      <c r="B379">
        <v>1</v>
      </c>
      <c r="D379" s="175">
        <v>45603</v>
      </c>
    </row>
    <row r="380" spans="1:5" x14ac:dyDescent="0.25">
      <c r="A380" t="s">
        <v>1036</v>
      </c>
      <c r="B380">
        <v>1</v>
      </c>
      <c r="D380" s="175">
        <v>45603</v>
      </c>
    </row>
    <row r="381" spans="1:5" x14ac:dyDescent="0.25">
      <c r="A381" t="s">
        <v>1037</v>
      </c>
      <c r="B381">
        <v>2</v>
      </c>
      <c r="C381" s="175">
        <v>45563</v>
      </c>
      <c r="D381" s="175">
        <v>45603</v>
      </c>
      <c r="E381" s="175">
        <v>45604</v>
      </c>
    </row>
    <row r="382" spans="1:5" x14ac:dyDescent="0.25">
      <c r="A382" t="s">
        <v>1038</v>
      </c>
      <c r="B382">
        <v>1</v>
      </c>
      <c r="D382" s="175">
        <v>45603</v>
      </c>
    </row>
    <row r="383" spans="1:5" x14ac:dyDescent="0.25">
      <c r="A383" t="s">
        <v>1039</v>
      </c>
      <c r="B383">
        <v>1</v>
      </c>
      <c r="D383" s="175">
        <v>45603</v>
      </c>
    </row>
    <row r="384" spans="1:5" x14ac:dyDescent="0.25">
      <c r="A384" t="s">
        <v>1040</v>
      </c>
      <c r="B384">
        <v>1</v>
      </c>
      <c r="D384" s="175">
        <v>45603</v>
      </c>
    </row>
    <row r="385" spans="1:5" x14ac:dyDescent="0.25">
      <c r="A385" t="s">
        <v>1041</v>
      </c>
      <c r="B385">
        <v>1</v>
      </c>
      <c r="D385" s="175">
        <v>45603</v>
      </c>
    </row>
    <row r="386" spans="1:5" x14ac:dyDescent="0.25">
      <c r="A386" t="s">
        <v>1042</v>
      </c>
      <c r="B386">
        <v>1</v>
      </c>
      <c r="D386" s="175">
        <v>45603</v>
      </c>
    </row>
    <row r="387" spans="1:5" x14ac:dyDescent="0.25">
      <c r="A387" t="s">
        <v>1043</v>
      </c>
      <c r="B387">
        <v>1</v>
      </c>
      <c r="D387" s="175">
        <v>45603</v>
      </c>
    </row>
    <row r="388" spans="1:5" x14ac:dyDescent="0.25">
      <c r="A388" t="s">
        <v>1044</v>
      </c>
      <c r="B388">
        <v>2</v>
      </c>
      <c r="C388" s="175">
        <v>45563</v>
      </c>
      <c r="D388" s="175">
        <v>45603</v>
      </c>
      <c r="E388" s="175">
        <v>45604</v>
      </c>
    </row>
    <row r="389" spans="1:5" x14ac:dyDescent="0.25">
      <c r="A389" t="s">
        <v>1045</v>
      </c>
      <c r="B389">
        <v>2</v>
      </c>
      <c r="C389" s="175">
        <v>45563</v>
      </c>
      <c r="D389" s="175">
        <v>45603</v>
      </c>
      <c r="E389" s="175">
        <v>45604</v>
      </c>
    </row>
    <row r="390" spans="1:5" x14ac:dyDescent="0.25">
      <c r="A390" t="s">
        <v>1046</v>
      </c>
      <c r="B390">
        <v>2</v>
      </c>
      <c r="C390" s="175">
        <v>45563</v>
      </c>
      <c r="D390" s="175">
        <v>45603</v>
      </c>
      <c r="E390" s="175">
        <v>45604</v>
      </c>
    </row>
    <row r="391" spans="1:5" x14ac:dyDescent="0.25">
      <c r="A391" t="s">
        <v>1047</v>
      </c>
      <c r="B391">
        <v>2</v>
      </c>
      <c r="C391" s="175">
        <v>45561</v>
      </c>
      <c r="D391" s="175">
        <v>45603</v>
      </c>
      <c r="E391" s="175">
        <v>45604</v>
      </c>
    </row>
    <row r="392" spans="1:5" x14ac:dyDescent="0.25">
      <c r="A392" t="s">
        <v>1048</v>
      </c>
      <c r="B392">
        <v>2</v>
      </c>
      <c r="C392" s="175">
        <v>45561</v>
      </c>
      <c r="D392" s="175">
        <v>45603</v>
      </c>
      <c r="E392" s="175">
        <v>45604</v>
      </c>
    </row>
    <row r="393" spans="1:5" x14ac:dyDescent="0.25">
      <c r="A393" t="s">
        <v>1049</v>
      </c>
      <c r="B393">
        <v>1</v>
      </c>
      <c r="D393" s="175">
        <v>45603</v>
      </c>
    </row>
    <row r="394" spans="1:5" x14ac:dyDescent="0.25">
      <c r="A394" t="s">
        <v>1050</v>
      </c>
      <c r="B394">
        <v>1</v>
      </c>
      <c r="D394" s="175">
        <v>45603</v>
      </c>
    </row>
    <row r="395" spans="1:5" x14ac:dyDescent="0.25">
      <c r="A395" t="s">
        <v>1051</v>
      </c>
      <c r="B395">
        <v>1</v>
      </c>
      <c r="D395" s="175">
        <v>45603</v>
      </c>
    </row>
    <row r="396" spans="1:5" x14ac:dyDescent="0.25">
      <c r="A396" t="s">
        <v>1052</v>
      </c>
      <c r="B396">
        <v>2</v>
      </c>
      <c r="C396" s="175">
        <v>45563</v>
      </c>
      <c r="D396" s="175">
        <v>45603</v>
      </c>
      <c r="E396" s="175">
        <v>45604</v>
      </c>
    </row>
    <row r="397" spans="1:5" x14ac:dyDescent="0.25">
      <c r="A397" t="s">
        <v>1053</v>
      </c>
      <c r="B397">
        <v>2</v>
      </c>
      <c r="C397" s="175">
        <v>45563</v>
      </c>
      <c r="D397" s="175">
        <v>45603</v>
      </c>
      <c r="E397" s="175">
        <v>45604</v>
      </c>
    </row>
    <row r="398" spans="1:5" x14ac:dyDescent="0.25">
      <c r="A398" t="s">
        <v>1054</v>
      </c>
      <c r="B398">
        <v>2</v>
      </c>
      <c r="C398" s="175">
        <v>45563</v>
      </c>
      <c r="D398" s="175">
        <v>45603</v>
      </c>
      <c r="E398" s="175">
        <v>45604</v>
      </c>
    </row>
    <row r="399" spans="1:5" x14ac:dyDescent="0.25">
      <c r="A399" t="s">
        <v>1055</v>
      </c>
      <c r="B399">
        <v>0</v>
      </c>
      <c r="C399" s="175">
        <v>45561</v>
      </c>
    </row>
    <row r="400" spans="1:5" x14ac:dyDescent="0.25">
      <c r="A400" t="s">
        <v>1056</v>
      </c>
      <c r="B400">
        <v>2</v>
      </c>
      <c r="C400" s="175">
        <v>45563</v>
      </c>
      <c r="D400" s="175">
        <v>45603</v>
      </c>
      <c r="E400" s="175">
        <v>45604</v>
      </c>
    </row>
    <row r="401" spans="1:5" x14ac:dyDescent="0.25">
      <c r="A401" t="s">
        <v>1057</v>
      </c>
      <c r="B401">
        <v>2</v>
      </c>
      <c r="C401" s="175">
        <v>45563</v>
      </c>
      <c r="D401" s="175">
        <v>45603</v>
      </c>
      <c r="E401" s="175">
        <v>45604</v>
      </c>
    </row>
    <row r="402" spans="1:5" x14ac:dyDescent="0.25">
      <c r="A402" t="s">
        <v>1058</v>
      </c>
      <c r="B402">
        <v>2</v>
      </c>
      <c r="C402" s="175">
        <v>45563</v>
      </c>
      <c r="D402" s="175">
        <v>45603</v>
      </c>
      <c r="E402" s="175">
        <v>45604</v>
      </c>
    </row>
    <row r="403" spans="1:5" x14ac:dyDescent="0.25">
      <c r="A403" t="s">
        <v>1059</v>
      </c>
      <c r="B403">
        <v>2</v>
      </c>
      <c r="C403" s="175">
        <v>45563</v>
      </c>
      <c r="D403" s="175">
        <v>45603</v>
      </c>
      <c r="E403" s="175">
        <v>45604</v>
      </c>
    </row>
    <row r="404" spans="1:5" x14ac:dyDescent="0.25">
      <c r="A404" t="s">
        <v>1060</v>
      </c>
      <c r="B404">
        <v>2</v>
      </c>
      <c r="C404" s="175">
        <v>45563</v>
      </c>
      <c r="D404" s="175">
        <v>45603</v>
      </c>
      <c r="E404" s="175">
        <v>45604</v>
      </c>
    </row>
    <row r="405" spans="1:5" x14ac:dyDescent="0.25">
      <c r="A405" t="s">
        <v>1061</v>
      </c>
      <c r="B405">
        <v>0</v>
      </c>
      <c r="C405" s="175">
        <v>45561</v>
      </c>
    </row>
    <row r="406" spans="1:5" x14ac:dyDescent="0.25">
      <c r="A406" t="s">
        <v>1062</v>
      </c>
      <c r="B406">
        <v>1</v>
      </c>
      <c r="D406" s="175">
        <v>45603</v>
      </c>
    </row>
    <row r="407" spans="1:5" x14ac:dyDescent="0.25">
      <c r="A407" t="s">
        <v>1063</v>
      </c>
      <c r="B407">
        <v>2</v>
      </c>
      <c r="C407" s="175">
        <v>45563</v>
      </c>
      <c r="D407" s="175">
        <v>45603</v>
      </c>
      <c r="E407" s="175">
        <v>45604</v>
      </c>
    </row>
    <row r="408" spans="1:5" x14ac:dyDescent="0.25">
      <c r="A408" t="s">
        <v>1064</v>
      </c>
      <c r="B408">
        <v>2</v>
      </c>
      <c r="C408" s="175">
        <v>45563</v>
      </c>
      <c r="D408" s="175">
        <v>45603</v>
      </c>
      <c r="E408" s="175">
        <v>45604</v>
      </c>
    </row>
    <row r="409" spans="1:5" x14ac:dyDescent="0.25">
      <c r="A409" t="s">
        <v>1065</v>
      </c>
      <c r="B409">
        <v>2</v>
      </c>
      <c r="C409" s="175">
        <v>45563</v>
      </c>
      <c r="D409" s="175">
        <v>45603</v>
      </c>
      <c r="E409" s="175">
        <v>45604</v>
      </c>
    </row>
    <row r="410" spans="1:5" x14ac:dyDescent="0.25">
      <c r="A410" t="s">
        <v>1066</v>
      </c>
      <c r="B410">
        <v>1</v>
      </c>
    </row>
    <row r="411" spans="1:5" x14ac:dyDescent="0.25">
      <c r="A411" t="s">
        <v>1067</v>
      </c>
      <c r="B411">
        <v>0</v>
      </c>
    </row>
    <row r="412" spans="1:5" x14ac:dyDescent="0.25">
      <c r="A412" t="s">
        <v>1068</v>
      </c>
      <c r="B412">
        <v>1</v>
      </c>
    </row>
    <row r="413" spans="1:5" x14ac:dyDescent="0.25">
      <c r="A413" t="s">
        <v>1069</v>
      </c>
      <c r="B413">
        <v>1</v>
      </c>
    </row>
    <row r="414" spans="1:5" x14ac:dyDescent="0.25">
      <c r="A414" t="s">
        <v>1070</v>
      </c>
      <c r="B414">
        <v>1</v>
      </c>
    </row>
    <row r="415" spans="1:5" x14ac:dyDescent="0.25">
      <c r="A415" t="s">
        <v>1071</v>
      </c>
      <c r="B415">
        <v>1</v>
      </c>
    </row>
    <row r="416" spans="1:5" x14ac:dyDescent="0.25">
      <c r="A416" t="s">
        <v>1072</v>
      </c>
      <c r="B416">
        <v>1</v>
      </c>
    </row>
    <row r="417" spans="1:4" x14ac:dyDescent="0.25">
      <c r="A417" t="s">
        <v>1073</v>
      </c>
      <c r="B417">
        <v>1</v>
      </c>
    </row>
    <row r="418" spans="1:4" x14ac:dyDescent="0.25">
      <c r="A418" t="s">
        <v>1074</v>
      </c>
      <c r="B418">
        <v>1</v>
      </c>
    </row>
    <row r="419" spans="1:4" x14ac:dyDescent="0.25">
      <c r="A419" t="s">
        <v>1075</v>
      </c>
      <c r="B419">
        <v>1</v>
      </c>
    </row>
    <row r="420" spans="1:4" x14ac:dyDescent="0.25">
      <c r="A420" t="s">
        <v>1076</v>
      </c>
      <c r="B420">
        <v>1</v>
      </c>
    </row>
    <row r="421" spans="1:4" x14ac:dyDescent="0.25">
      <c r="A421" t="s">
        <v>1077</v>
      </c>
      <c r="B421">
        <v>1</v>
      </c>
    </row>
    <row r="422" spans="1:4" x14ac:dyDescent="0.25">
      <c r="A422" t="s">
        <v>1078</v>
      </c>
      <c r="B422">
        <v>1</v>
      </c>
    </row>
    <row r="423" spans="1:4" x14ac:dyDescent="0.25">
      <c r="A423" t="s">
        <v>1079</v>
      </c>
      <c r="B423">
        <v>1</v>
      </c>
    </row>
    <row r="424" spans="1:4" x14ac:dyDescent="0.25">
      <c r="A424" t="s">
        <v>1080</v>
      </c>
      <c r="B424">
        <v>1</v>
      </c>
    </row>
    <row r="425" spans="1:4" x14ac:dyDescent="0.25">
      <c r="A425" t="s">
        <v>1081</v>
      </c>
      <c r="B425">
        <v>1</v>
      </c>
    </row>
    <row r="426" spans="1:4" x14ac:dyDescent="0.25">
      <c r="A426" t="s">
        <v>1082</v>
      </c>
      <c r="B426">
        <v>0</v>
      </c>
    </row>
    <row r="427" spans="1:4" x14ac:dyDescent="0.25">
      <c r="A427" t="s">
        <v>1083</v>
      </c>
      <c r="B427">
        <v>1</v>
      </c>
      <c r="C427" s="175">
        <v>45512</v>
      </c>
      <c r="D427" s="175">
        <v>45526</v>
      </c>
    </row>
    <row r="428" spans="1:4" x14ac:dyDescent="0.25">
      <c r="A428" t="s">
        <v>1084</v>
      </c>
      <c r="B428">
        <v>1</v>
      </c>
    </row>
    <row r="429" spans="1:4" x14ac:dyDescent="0.25">
      <c r="A429" t="s">
        <v>1085</v>
      </c>
      <c r="B429">
        <v>1</v>
      </c>
    </row>
    <row r="430" spans="1:4" x14ac:dyDescent="0.25">
      <c r="A430" t="s">
        <v>1086</v>
      </c>
      <c r="B430">
        <v>1</v>
      </c>
    </row>
    <row r="431" spans="1:4" x14ac:dyDescent="0.25">
      <c r="A431" t="s">
        <v>1087</v>
      </c>
      <c r="B431">
        <v>0</v>
      </c>
    </row>
    <row r="432" spans="1:4" x14ac:dyDescent="0.25">
      <c r="A432" t="s">
        <v>1088</v>
      </c>
      <c r="B432">
        <v>0</v>
      </c>
    </row>
    <row r="433" spans="1:5" x14ac:dyDescent="0.25">
      <c r="A433" t="s">
        <v>1089</v>
      </c>
      <c r="B433">
        <v>1</v>
      </c>
    </row>
    <row r="434" spans="1:5" x14ac:dyDescent="0.25">
      <c r="A434" t="s">
        <v>1090</v>
      </c>
      <c r="B434">
        <v>0</v>
      </c>
    </row>
    <row r="435" spans="1:5" x14ac:dyDescent="0.25">
      <c r="A435" t="s">
        <v>1091</v>
      </c>
      <c r="B435">
        <v>1</v>
      </c>
    </row>
    <row r="436" spans="1:5" x14ac:dyDescent="0.25">
      <c r="A436" t="s">
        <v>1092</v>
      </c>
      <c r="B436">
        <v>1</v>
      </c>
    </row>
    <row r="437" spans="1:5" x14ac:dyDescent="0.25">
      <c r="A437" t="s">
        <v>1093</v>
      </c>
      <c r="B437">
        <v>1</v>
      </c>
    </row>
    <row r="438" spans="1:5" x14ac:dyDescent="0.25">
      <c r="A438" t="s">
        <v>1094</v>
      </c>
      <c r="B438">
        <v>1</v>
      </c>
    </row>
    <row r="439" spans="1:5" x14ac:dyDescent="0.25">
      <c r="A439" t="s">
        <v>1095</v>
      </c>
      <c r="B439">
        <v>1</v>
      </c>
    </row>
    <row r="440" spans="1:5" x14ac:dyDescent="0.25">
      <c r="A440" t="s">
        <v>1096</v>
      </c>
      <c r="B440">
        <v>1</v>
      </c>
    </row>
    <row r="441" spans="1:5" x14ac:dyDescent="0.25">
      <c r="A441" t="s">
        <v>1097</v>
      </c>
      <c r="B441">
        <v>1</v>
      </c>
    </row>
    <row r="442" spans="1:5" x14ac:dyDescent="0.25">
      <c r="A442" t="s">
        <v>1098</v>
      </c>
      <c r="B442">
        <v>1</v>
      </c>
    </row>
    <row r="443" spans="1:5" x14ac:dyDescent="0.25">
      <c r="A443" t="s">
        <v>1099</v>
      </c>
      <c r="B443">
        <v>1</v>
      </c>
    </row>
    <row r="444" spans="1:5" x14ac:dyDescent="0.25">
      <c r="A444" t="s">
        <v>1100</v>
      </c>
      <c r="B444">
        <v>5</v>
      </c>
      <c r="C444" s="175">
        <v>45603</v>
      </c>
      <c r="D444" s="175">
        <v>45607</v>
      </c>
      <c r="E444" s="175">
        <v>45600</v>
      </c>
    </row>
    <row r="445" spans="1:5" x14ac:dyDescent="0.25">
      <c r="A445" t="s">
        <v>1101</v>
      </c>
      <c r="B445">
        <v>5</v>
      </c>
      <c r="C445" s="175">
        <v>45603</v>
      </c>
      <c r="D445" s="175">
        <v>45607</v>
      </c>
      <c r="E445" s="175">
        <v>45600</v>
      </c>
    </row>
    <row r="446" spans="1:5" x14ac:dyDescent="0.25">
      <c r="A446" t="s">
        <v>1102</v>
      </c>
      <c r="B446">
        <v>1</v>
      </c>
    </row>
    <row r="447" spans="1:5" x14ac:dyDescent="0.25">
      <c r="A447" t="s">
        <v>1103</v>
      </c>
      <c r="B447">
        <v>1</v>
      </c>
    </row>
    <row r="448" spans="1:5" x14ac:dyDescent="0.25">
      <c r="A448" t="s">
        <v>1104</v>
      </c>
      <c r="B448">
        <v>1</v>
      </c>
    </row>
    <row r="449" spans="1:5" x14ac:dyDescent="0.25">
      <c r="A449" t="s">
        <v>1105</v>
      </c>
      <c r="B449">
        <v>5</v>
      </c>
      <c r="C449" s="175">
        <v>45603</v>
      </c>
      <c r="D449" s="175">
        <v>45607</v>
      </c>
      <c r="E449" s="175">
        <v>45600</v>
      </c>
    </row>
    <row r="450" spans="1:5" x14ac:dyDescent="0.25">
      <c r="A450" t="s">
        <v>1106</v>
      </c>
      <c r="B450">
        <v>1</v>
      </c>
    </row>
    <row r="451" spans="1:5" x14ac:dyDescent="0.25">
      <c r="A451" t="s">
        <v>1107</v>
      </c>
      <c r="B451">
        <v>5</v>
      </c>
      <c r="C451" s="175">
        <v>45603</v>
      </c>
      <c r="D451" s="175">
        <v>45607</v>
      </c>
      <c r="E451" s="175">
        <v>45600</v>
      </c>
    </row>
    <row r="452" spans="1:5" x14ac:dyDescent="0.25">
      <c r="A452" t="s">
        <v>1108</v>
      </c>
      <c r="B452">
        <v>5</v>
      </c>
      <c r="C452" s="175">
        <v>45603</v>
      </c>
      <c r="D452" s="175">
        <v>45607</v>
      </c>
      <c r="E452" s="175">
        <v>45600</v>
      </c>
    </row>
    <row r="453" spans="1:5" x14ac:dyDescent="0.25">
      <c r="A453" t="s">
        <v>1109</v>
      </c>
      <c r="B453">
        <v>1</v>
      </c>
    </row>
    <row r="454" spans="1:5" x14ac:dyDescent="0.25">
      <c r="A454" t="s">
        <v>1110</v>
      </c>
      <c r="B454">
        <v>1</v>
      </c>
    </row>
    <row r="455" spans="1:5" x14ac:dyDescent="0.25">
      <c r="A455" t="s">
        <v>1111</v>
      </c>
      <c r="B455">
        <v>1</v>
      </c>
    </row>
    <row r="456" spans="1:5" x14ac:dyDescent="0.25">
      <c r="A456" t="s">
        <v>1112</v>
      </c>
      <c r="B456">
        <v>5</v>
      </c>
      <c r="C456" s="175">
        <v>45603</v>
      </c>
      <c r="D456" s="175">
        <v>45607</v>
      </c>
      <c r="E456" s="175">
        <v>45600</v>
      </c>
    </row>
    <row r="457" spans="1:5" x14ac:dyDescent="0.25">
      <c r="A457" t="s">
        <v>1113</v>
      </c>
      <c r="B457">
        <v>1</v>
      </c>
    </row>
    <row r="458" spans="1:5" x14ac:dyDescent="0.25">
      <c r="A458" t="s">
        <v>1114</v>
      </c>
      <c r="B458">
        <v>1</v>
      </c>
    </row>
    <row r="459" spans="1:5" x14ac:dyDescent="0.25">
      <c r="A459" t="s">
        <v>1115</v>
      </c>
      <c r="B459">
        <v>1</v>
      </c>
    </row>
    <row r="460" spans="1:5" x14ac:dyDescent="0.25">
      <c r="A460" t="s">
        <v>1116</v>
      </c>
      <c r="B460">
        <v>5</v>
      </c>
      <c r="C460" s="175">
        <v>45603</v>
      </c>
      <c r="D460" s="175">
        <v>45607</v>
      </c>
      <c r="E460" s="175">
        <v>45600</v>
      </c>
    </row>
    <row r="461" spans="1:5" x14ac:dyDescent="0.25">
      <c r="A461" t="s">
        <v>1117</v>
      </c>
      <c r="B461">
        <v>1</v>
      </c>
    </row>
    <row r="462" spans="1:5" x14ac:dyDescent="0.25">
      <c r="A462" t="s">
        <v>1118</v>
      </c>
      <c r="B462">
        <v>1</v>
      </c>
    </row>
    <row r="463" spans="1:5" x14ac:dyDescent="0.25">
      <c r="A463" t="s">
        <v>1119</v>
      </c>
      <c r="B463">
        <v>1</v>
      </c>
    </row>
    <row r="464" spans="1:5" x14ac:dyDescent="0.25">
      <c r="A464" t="s">
        <v>1120</v>
      </c>
      <c r="B464">
        <v>5</v>
      </c>
      <c r="C464" s="175">
        <v>45603</v>
      </c>
      <c r="D464" s="175">
        <v>45607</v>
      </c>
      <c r="E464" s="175">
        <v>45600</v>
      </c>
    </row>
    <row r="465" spans="1:5" x14ac:dyDescent="0.25">
      <c r="A465" t="s">
        <v>1121</v>
      </c>
      <c r="B465">
        <v>5</v>
      </c>
      <c r="C465" s="175">
        <v>45603</v>
      </c>
      <c r="D465" s="175">
        <v>45607</v>
      </c>
      <c r="E465" s="175">
        <v>45600</v>
      </c>
    </row>
    <row r="466" spans="1:5" x14ac:dyDescent="0.25">
      <c r="A466" t="s">
        <v>1122</v>
      </c>
      <c r="B466">
        <v>1</v>
      </c>
    </row>
    <row r="467" spans="1:5" x14ac:dyDescent="0.25">
      <c r="A467" t="s">
        <v>1123</v>
      </c>
      <c r="B467">
        <v>5</v>
      </c>
      <c r="C467" s="175">
        <v>45603</v>
      </c>
      <c r="D467" s="175">
        <v>45607</v>
      </c>
      <c r="E467" s="175">
        <v>45600</v>
      </c>
    </row>
    <row r="468" spans="1:5" x14ac:dyDescent="0.25">
      <c r="A468" t="s">
        <v>1124</v>
      </c>
      <c r="B468">
        <v>5</v>
      </c>
      <c r="C468" s="175">
        <v>45603</v>
      </c>
      <c r="D468" s="175">
        <v>45607</v>
      </c>
      <c r="E468" s="175">
        <v>45600</v>
      </c>
    </row>
    <row r="469" spans="1:5" x14ac:dyDescent="0.25">
      <c r="A469" t="s">
        <v>1125</v>
      </c>
      <c r="B469">
        <v>5</v>
      </c>
      <c r="C469" s="175">
        <v>45603</v>
      </c>
      <c r="D469" s="175">
        <v>45607</v>
      </c>
      <c r="E469" s="175">
        <v>45600</v>
      </c>
    </row>
    <row r="470" spans="1:5" x14ac:dyDescent="0.25">
      <c r="A470" t="s">
        <v>1126</v>
      </c>
      <c r="B470">
        <v>5</v>
      </c>
      <c r="C470" s="175">
        <v>45603</v>
      </c>
      <c r="D470" s="175">
        <v>45607</v>
      </c>
      <c r="E470" s="175">
        <v>45600</v>
      </c>
    </row>
    <row r="471" spans="1:5" x14ac:dyDescent="0.25">
      <c r="A471" t="s">
        <v>1127</v>
      </c>
      <c r="B471">
        <v>1</v>
      </c>
    </row>
    <row r="472" spans="1:5" x14ac:dyDescent="0.25">
      <c r="A472" t="s">
        <v>1128</v>
      </c>
      <c r="B472">
        <v>1</v>
      </c>
    </row>
    <row r="473" spans="1:5" x14ac:dyDescent="0.25">
      <c r="A473" t="s">
        <v>1129</v>
      </c>
      <c r="B473">
        <v>5</v>
      </c>
      <c r="C473" s="175">
        <v>45603</v>
      </c>
      <c r="D473" s="175">
        <v>45607</v>
      </c>
      <c r="E473" s="175">
        <v>45600</v>
      </c>
    </row>
    <row r="474" spans="1:5" x14ac:dyDescent="0.25">
      <c r="A474" t="s">
        <v>1130</v>
      </c>
      <c r="B474">
        <v>5</v>
      </c>
      <c r="C474" s="175">
        <v>45603</v>
      </c>
      <c r="D474" s="175">
        <v>45607</v>
      </c>
      <c r="E474" s="175">
        <v>45600</v>
      </c>
    </row>
    <row r="475" spans="1:5" x14ac:dyDescent="0.25">
      <c r="A475" t="s">
        <v>1131</v>
      </c>
      <c r="B475">
        <v>1</v>
      </c>
    </row>
    <row r="476" spans="1:5" x14ac:dyDescent="0.25">
      <c r="A476" t="s">
        <v>1132</v>
      </c>
      <c r="B476">
        <v>5</v>
      </c>
      <c r="C476" s="175">
        <v>45603</v>
      </c>
      <c r="D476" s="175">
        <v>45607</v>
      </c>
      <c r="E476" s="175">
        <v>45600</v>
      </c>
    </row>
    <row r="477" spans="1:5" x14ac:dyDescent="0.25">
      <c r="A477" t="s">
        <v>1133</v>
      </c>
      <c r="B477">
        <v>5</v>
      </c>
      <c r="C477" s="175">
        <v>45603</v>
      </c>
      <c r="D477" s="175">
        <v>45607</v>
      </c>
      <c r="E477" s="175">
        <v>45600</v>
      </c>
    </row>
    <row r="478" spans="1:5" x14ac:dyDescent="0.25">
      <c r="A478" t="s">
        <v>1134</v>
      </c>
      <c r="B478">
        <v>1</v>
      </c>
    </row>
    <row r="479" spans="1:5" x14ac:dyDescent="0.25">
      <c r="A479" t="s">
        <v>1135</v>
      </c>
      <c r="B479">
        <v>1</v>
      </c>
    </row>
    <row r="480" spans="1:5" x14ac:dyDescent="0.25">
      <c r="A480" t="s">
        <v>1136</v>
      </c>
      <c r="B480">
        <v>1</v>
      </c>
    </row>
    <row r="481" spans="1:5" x14ac:dyDescent="0.25">
      <c r="A481" t="s">
        <v>1137</v>
      </c>
      <c r="B481">
        <v>1</v>
      </c>
    </row>
    <row r="482" spans="1:5" x14ac:dyDescent="0.25">
      <c r="A482" t="s">
        <v>1138</v>
      </c>
      <c r="B482">
        <v>1</v>
      </c>
    </row>
    <row r="483" spans="1:5" x14ac:dyDescent="0.25">
      <c r="A483" t="s">
        <v>1139</v>
      </c>
      <c r="B483">
        <v>1</v>
      </c>
    </row>
    <row r="484" spans="1:5" x14ac:dyDescent="0.25">
      <c r="A484" t="s">
        <v>1140</v>
      </c>
      <c r="B484">
        <v>1</v>
      </c>
    </row>
    <row r="485" spans="1:5" x14ac:dyDescent="0.25">
      <c r="A485" t="s">
        <v>1141</v>
      </c>
      <c r="B485">
        <v>1</v>
      </c>
    </row>
    <row r="486" spans="1:5" x14ac:dyDescent="0.25">
      <c r="A486" t="s">
        <v>1142</v>
      </c>
      <c r="B486">
        <v>1</v>
      </c>
    </row>
    <row r="487" spans="1:5" x14ac:dyDescent="0.25">
      <c r="A487" t="s">
        <v>1143</v>
      </c>
      <c r="B487">
        <v>1</v>
      </c>
    </row>
    <row r="488" spans="1:5" x14ac:dyDescent="0.25">
      <c r="A488" t="s">
        <v>1144</v>
      </c>
      <c r="B488">
        <v>5</v>
      </c>
      <c r="C488" s="175">
        <v>45603</v>
      </c>
      <c r="D488" s="175">
        <v>45607</v>
      </c>
      <c r="E488" s="175">
        <v>45600</v>
      </c>
    </row>
    <row r="489" spans="1:5" x14ac:dyDescent="0.25">
      <c r="A489" t="s">
        <v>1145</v>
      </c>
      <c r="B489">
        <v>1</v>
      </c>
    </row>
    <row r="490" spans="1:5" x14ac:dyDescent="0.25">
      <c r="A490" t="s">
        <v>1146</v>
      </c>
      <c r="B490">
        <v>1</v>
      </c>
    </row>
    <row r="491" spans="1:5" x14ac:dyDescent="0.25">
      <c r="A491" t="s">
        <v>1147</v>
      </c>
      <c r="B491">
        <v>1</v>
      </c>
    </row>
    <row r="492" spans="1:5" x14ac:dyDescent="0.25">
      <c r="A492" t="s">
        <v>1148</v>
      </c>
      <c r="B492">
        <v>5</v>
      </c>
      <c r="C492" s="175">
        <v>45603</v>
      </c>
      <c r="D492" s="175">
        <v>45607</v>
      </c>
      <c r="E492" s="175">
        <v>45600</v>
      </c>
    </row>
    <row r="493" spans="1:5" x14ac:dyDescent="0.25">
      <c r="A493" t="s">
        <v>1149</v>
      </c>
      <c r="B493">
        <v>5</v>
      </c>
      <c r="C493" s="175">
        <v>45603</v>
      </c>
      <c r="D493" s="175">
        <v>45607</v>
      </c>
      <c r="E493" s="175">
        <v>45600</v>
      </c>
    </row>
    <row r="494" spans="1:5" x14ac:dyDescent="0.25">
      <c r="A494" t="s">
        <v>1150</v>
      </c>
      <c r="B494">
        <v>1</v>
      </c>
    </row>
    <row r="495" spans="1:5" x14ac:dyDescent="0.25">
      <c r="A495" t="s">
        <v>1151</v>
      </c>
      <c r="B495">
        <v>1</v>
      </c>
    </row>
    <row r="496" spans="1:5" x14ac:dyDescent="0.25">
      <c r="A496" t="s">
        <v>1152</v>
      </c>
      <c r="B496">
        <v>1</v>
      </c>
    </row>
    <row r="497" spans="1:5" x14ac:dyDescent="0.25">
      <c r="A497" t="s">
        <v>1153</v>
      </c>
      <c r="B497">
        <v>1</v>
      </c>
    </row>
    <row r="498" spans="1:5" x14ac:dyDescent="0.25">
      <c r="A498" t="s">
        <v>1154</v>
      </c>
      <c r="B498">
        <v>5</v>
      </c>
      <c r="C498" s="175">
        <v>45603</v>
      </c>
      <c r="D498" s="175">
        <v>45607</v>
      </c>
      <c r="E498" s="175">
        <v>45600</v>
      </c>
    </row>
    <row r="499" spans="1:5" x14ac:dyDescent="0.25">
      <c r="A499" t="s">
        <v>1155</v>
      </c>
      <c r="B499">
        <v>1</v>
      </c>
    </row>
    <row r="500" spans="1:5" x14ac:dyDescent="0.25">
      <c r="A500" t="s">
        <v>1156</v>
      </c>
      <c r="B500">
        <v>1</v>
      </c>
    </row>
    <row r="501" spans="1:5" x14ac:dyDescent="0.25">
      <c r="A501" t="s">
        <v>1157</v>
      </c>
      <c r="B501">
        <v>1</v>
      </c>
    </row>
    <row r="502" spans="1:5" x14ac:dyDescent="0.25">
      <c r="A502" t="s">
        <v>1158</v>
      </c>
      <c r="B502">
        <v>5</v>
      </c>
      <c r="C502" s="175">
        <v>45603</v>
      </c>
      <c r="D502" s="175">
        <v>45607</v>
      </c>
      <c r="E502" s="175">
        <v>45600</v>
      </c>
    </row>
    <row r="503" spans="1:5" x14ac:dyDescent="0.25">
      <c r="A503" t="s">
        <v>1159</v>
      </c>
      <c r="B503">
        <v>1</v>
      </c>
    </row>
    <row r="504" spans="1:5" x14ac:dyDescent="0.25">
      <c r="A504" t="s">
        <v>1160</v>
      </c>
      <c r="B504">
        <v>1</v>
      </c>
    </row>
    <row r="505" spans="1:5" x14ac:dyDescent="0.25">
      <c r="A505" t="s">
        <v>1161</v>
      </c>
      <c r="B505">
        <v>1</v>
      </c>
    </row>
    <row r="506" spans="1:5" x14ac:dyDescent="0.25">
      <c r="A506" t="s">
        <v>1162</v>
      </c>
      <c r="B506">
        <v>1</v>
      </c>
    </row>
    <row r="507" spans="1:5" x14ac:dyDescent="0.25">
      <c r="A507" t="s">
        <v>1163</v>
      </c>
      <c r="B507">
        <v>1</v>
      </c>
    </row>
    <row r="508" spans="1:5" x14ac:dyDescent="0.25">
      <c r="A508" t="s">
        <v>1164</v>
      </c>
      <c r="B508">
        <v>1</v>
      </c>
    </row>
    <row r="509" spans="1:5" x14ac:dyDescent="0.25">
      <c r="A509" t="s">
        <v>1165</v>
      </c>
      <c r="B509">
        <v>1</v>
      </c>
    </row>
    <row r="510" spans="1:5" x14ac:dyDescent="0.25">
      <c r="A510" t="s">
        <v>1166</v>
      </c>
      <c r="B510">
        <v>1</v>
      </c>
    </row>
    <row r="511" spans="1:5" x14ac:dyDescent="0.25">
      <c r="A511" t="s">
        <v>1167</v>
      </c>
      <c r="B511">
        <v>1</v>
      </c>
    </row>
    <row r="512" spans="1:5" x14ac:dyDescent="0.25">
      <c r="A512" t="s">
        <v>1168</v>
      </c>
      <c r="B512">
        <v>1</v>
      </c>
    </row>
    <row r="513" spans="1:5" x14ac:dyDescent="0.25">
      <c r="A513" t="s">
        <v>1169</v>
      </c>
      <c r="B513">
        <v>1</v>
      </c>
    </row>
    <row r="514" spans="1:5" x14ac:dyDescent="0.25">
      <c r="A514" t="s">
        <v>1170</v>
      </c>
      <c r="B514">
        <v>1</v>
      </c>
    </row>
    <row r="515" spans="1:5" x14ac:dyDescent="0.25">
      <c r="A515" t="s">
        <v>1171</v>
      </c>
      <c r="B515">
        <v>1</v>
      </c>
    </row>
    <row r="516" spans="1:5" x14ac:dyDescent="0.25">
      <c r="A516" t="s">
        <v>1172</v>
      </c>
      <c r="B516">
        <v>1</v>
      </c>
    </row>
    <row r="517" spans="1:5" x14ac:dyDescent="0.25">
      <c r="A517" t="s">
        <v>1173</v>
      </c>
      <c r="B517">
        <v>1</v>
      </c>
    </row>
    <row r="518" spans="1:5" x14ac:dyDescent="0.25">
      <c r="A518" t="s">
        <v>1174</v>
      </c>
      <c r="B518">
        <v>1</v>
      </c>
    </row>
    <row r="519" spans="1:5" x14ac:dyDescent="0.25">
      <c r="A519" t="s">
        <v>1175</v>
      </c>
      <c r="B519">
        <v>1</v>
      </c>
    </row>
    <row r="520" spans="1:5" x14ac:dyDescent="0.25">
      <c r="A520" t="s">
        <v>1176</v>
      </c>
      <c r="B520">
        <v>1</v>
      </c>
    </row>
    <row r="521" spans="1:5" x14ac:dyDescent="0.25">
      <c r="A521" t="s">
        <v>1948</v>
      </c>
      <c r="B521">
        <v>7</v>
      </c>
    </row>
    <row r="522" spans="1:5" x14ac:dyDescent="0.25">
      <c r="A522" t="s">
        <v>1177</v>
      </c>
      <c r="B522">
        <v>0</v>
      </c>
    </row>
    <row r="523" spans="1:5" x14ac:dyDescent="0.25">
      <c r="A523" t="s">
        <v>1178</v>
      </c>
      <c r="B523">
        <v>1</v>
      </c>
    </row>
    <row r="524" spans="1:5" x14ac:dyDescent="0.25">
      <c r="A524" t="s">
        <v>1179</v>
      </c>
      <c r="B524">
        <v>1</v>
      </c>
    </row>
    <row r="525" spans="1:5" x14ac:dyDescent="0.25">
      <c r="A525" t="s">
        <v>1180</v>
      </c>
      <c r="B525">
        <v>1</v>
      </c>
      <c r="C525" s="175">
        <v>45491</v>
      </c>
      <c r="D525" s="175">
        <v>45495</v>
      </c>
      <c r="E525" s="175">
        <v>45495</v>
      </c>
    </row>
    <row r="526" spans="1:5" x14ac:dyDescent="0.25">
      <c r="A526" t="s">
        <v>1181</v>
      </c>
      <c r="B526">
        <v>1</v>
      </c>
    </row>
    <row r="527" spans="1:5" x14ac:dyDescent="0.25">
      <c r="A527" t="s">
        <v>1182</v>
      </c>
      <c r="B527">
        <v>1</v>
      </c>
    </row>
    <row r="528" spans="1:5" x14ac:dyDescent="0.25">
      <c r="A528" t="s">
        <v>1183</v>
      </c>
      <c r="B528">
        <v>1</v>
      </c>
      <c r="C528" s="175">
        <v>45491</v>
      </c>
      <c r="D528" s="175">
        <v>45495</v>
      </c>
      <c r="E528" s="175">
        <v>45495</v>
      </c>
    </row>
    <row r="529" spans="1:2" x14ac:dyDescent="0.25">
      <c r="A529" t="s">
        <v>1184</v>
      </c>
      <c r="B529">
        <v>1</v>
      </c>
    </row>
    <row r="530" spans="1:2" x14ac:dyDescent="0.25">
      <c r="A530" t="s">
        <v>1185</v>
      </c>
      <c r="B530">
        <v>1</v>
      </c>
    </row>
    <row r="531" spans="1:2" x14ac:dyDescent="0.25">
      <c r="A531" t="s">
        <v>1186</v>
      </c>
      <c r="B531">
        <v>1</v>
      </c>
    </row>
    <row r="532" spans="1:2" x14ac:dyDescent="0.25">
      <c r="A532" t="s">
        <v>1187</v>
      </c>
      <c r="B532">
        <v>1</v>
      </c>
    </row>
    <row r="533" spans="1:2" x14ac:dyDescent="0.25">
      <c r="A533" t="s">
        <v>1188</v>
      </c>
      <c r="B533">
        <v>1</v>
      </c>
    </row>
    <row r="534" spans="1:2" x14ac:dyDescent="0.25">
      <c r="A534" t="s">
        <v>1189</v>
      </c>
      <c r="B534">
        <v>1</v>
      </c>
    </row>
    <row r="535" spans="1:2" x14ac:dyDescent="0.25">
      <c r="A535" t="s">
        <v>1190</v>
      </c>
      <c r="B535">
        <v>1</v>
      </c>
    </row>
    <row r="536" spans="1:2" x14ac:dyDescent="0.25">
      <c r="A536" t="s">
        <v>1191</v>
      </c>
      <c r="B536">
        <v>1</v>
      </c>
    </row>
    <row r="537" spans="1:2" x14ac:dyDescent="0.25">
      <c r="A537" t="s">
        <v>1192</v>
      </c>
      <c r="B537">
        <v>1</v>
      </c>
    </row>
    <row r="538" spans="1:2" x14ac:dyDescent="0.25">
      <c r="A538" t="s">
        <v>1193</v>
      </c>
      <c r="B538">
        <v>0</v>
      </c>
    </row>
    <row r="539" spans="1:2" x14ac:dyDescent="0.25">
      <c r="A539" t="s">
        <v>1194</v>
      </c>
      <c r="B539">
        <v>1</v>
      </c>
    </row>
    <row r="540" spans="1:2" x14ac:dyDescent="0.25">
      <c r="A540" t="s">
        <v>1195</v>
      </c>
      <c r="B540">
        <v>1</v>
      </c>
    </row>
    <row r="541" spans="1:2" x14ac:dyDescent="0.25">
      <c r="A541" t="s">
        <v>1196</v>
      </c>
      <c r="B541">
        <v>1</v>
      </c>
    </row>
    <row r="542" spans="1:2" x14ac:dyDescent="0.25">
      <c r="A542" t="s">
        <v>1197</v>
      </c>
      <c r="B542">
        <v>1</v>
      </c>
    </row>
    <row r="543" spans="1:2" x14ac:dyDescent="0.25">
      <c r="A543" t="s">
        <v>1198</v>
      </c>
      <c r="B543">
        <v>1</v>
      </c>
    </row>
    <row r="544" spans="1:2" x14ac:dyDescent="0.25">
      <c r="A544" t="s">
        <v>1199</v>
      </c>
      <c r="B544">
        <v>1</v>
      </c>
    </row>
    <row r="545" spans="1:2" x14ac:dyDescent="0.25">
      <c r="A545" t="s">
        <v>1200</v>
      </c>
      <c r="B545">
        <v>1</v>
      </c>
    </row>
    <row r="546" spans="1:2" x14ac:dyDescent="0.25">
      <c r="A546" t="s">
        <v>1201</v>
      </c>
      <c r="B546">
        <v>1</v>
      </c>
    </row>
    <row r="547" spans="1:2" x14ac:dyDescent="0.25">
      <c r="A547" t="s">
        <v>1202</v>
      </c>
      <c r="B547">
        <v>1</v>
      </c>
    </row>
    <row r="548" spans="1:2" x14ac:dyDescent="0.25">
      <c r="A548" t="s">
        <v>1203</v>
      </c>
      <c r="B548">
        <v>1</v>
      </c>
    </row>
    <row r="549" spans="1:2" x14ac:dyDescent="0.25">
      <c r="A549" t="s">
        <v>1204</v>
      </c>
      <c r="B549">
        <v>1</v>
      </c>
    </row>
    <row r="550" spans="1:2" x14ac:dyDescent="0.25">
      <c r="A550" t="s">
        <v>1205</v>
      </c>
      <c r="B550">
        <v>1</v>
      </c>
    </row>
    <row r="551" spans="1:2" x14ac:dyDescent="0.25">
      <c r="A551" t="s">
        <v>1206</v>
      </c>
      <c r="B551">
        <v>1</v>
      </c>
    </row>
    <row r="552" spans="1:2" x14ac:dyDescent="0.25">
      <c r="A552" t="s">
        <v>1207</v>
      </c>
      <c r="B552">
        <v>1</v>
      </c>
    </row>
    <row r="553" spans="1:2" x14ac:dyDescent="0.25">
      <c r="A553" t="s">
        <v>1208</v>
      </c>
      <c r="B553">
        <v>0</v>
      </c>
    </row>
    <row r="554" spans="1:2" x14ac:dyDescent="0.25">
      <c r="A554" t="s">
        <v>1209</v>
      </c>
      <c r="B554">
        <v>1</v>
      </c>
    </row>
    <row r="555" spans="1:2" x14ac:dyDescent="0.25">
      <c r="A555" t="s">
        <v>1210</v>
      </c>
      <c r="B555">
        <v>1</v>
      </c>
    </row>
    <row r="556" spans="1:2" x14ac:dyDescent="0.25">
      <c r="A556" t="s">
        <v>1211</v>
      </c>
      <c r="B556">
        <v>1</v>
      </c>
    </row>
    <row r="557" spans="1:2" x14ac:dyDescent="0.25">
      <c r="A557" t="s">
        <v>1212</v>
      </c>
      <c r="B557">
        <v>0</v>
      </c>
    </row>
    <row r="558" spans="1:2" x14ac:dyDescent="0.25">
      <c r="A558" t="s">
        <v>1213</v>
      </c>
      <c r="B558">
        <v>1</v>
      </c>
    </row>
    <row r="559" spans="1:2" x14ac:dyDescent="0.25">
      <c r="A559" t="s">
        <v>1214</v>
      </c>
      <c r="B559">
        <v>1</v>
      </c>
    </row>
    <row r="560" spans="1:2" x14ac:dyDescent="0.25">
      <c r="A560" t="s">
        <v>1215</v>
      </c>
      <c r="B560">
        <v>0</v>
      </c>
    </row>
    <row r="561" spans="1:5" x14ac:dyDescent="0.25">
      <c r="A561" t="s">
        <v>1216</v>
      </c>
      <c r="B561">
        <v>1</v>
      </c>
    </row>
    <row r="562" spans="1:5" x14ac:dyDescent="0.25">
      <c r="A562" t="s">
        <v>1217</v>
      </c>
      <c r="B562">
        <v>1</v>
      </c>
    </row>
    <row r="563" spans="1:5" x14ac:dyDescent="0.25">
      <c r="A563" t="s">
        <v>1218</v>
      </c>
      <c r="B563">
        <v>1</v>
      </c>
    </row>
    <row r="564" spans="1:5" x14ac:dyDescent="0.25">
      <c r="A564" t="s">
        <v>1219</v>
      </c>
      <c r="B564">
        <v>1</v>
      </c>
    </row>
    <row r="565" spans="1:5" x14ac:dyDescent="0.25">
      <c r="A565" t="s">
        <v>1220</v>
      </c>
      <c r="B565">
        <v>1</v>
      </c>
    </row>
    <row r="566" spans="1:5" x14ac:dyDescent="0.25">
      <c r="A566" t="s">
        <v>1221</v>
      </c>
      <c r="B566">
        <v>1</v>
      </c>
    </row>
    <row r="567" spans="1:5" x14ac:dyDescent="0.25">
      <c r="A567" t="s">
        <v>1222</v>
      </c>
      <c r="B567">
        <v>1</v>
      </c>
    </row>
    <row r="568" spans="1:5" x14ac:dyDescent="0.25">
      <c r="A568" t="s">
        <v>1223</v>
      </c>
      <c r="B568">
        <v>1</v>
      </c>
    </row>
    <row r="569" spans="1:5" x14ac:dyDescent="0.25">
      <c r="A569" t="s">
        <v>1224</v>
      </c>
      <c r="B569">
        <v>1</v>
      </c>
    </row>
    <row r="570" spans="1:5" x14ac:dyDescent="0.25">
      <c r="A570" t="s">
        <v>1225</v>
      </c>
      <c r="B570">
        <v>1</v>
      </c>
    </row>
    <row r="571" spans="1:5" x14ac:dyDescent="0.25">
      <c r="A571" t="s">
        <v>1226</v>
      </c>
      <c r="B571">
        <v>1</v>
      </c>
    </row>
    <row r="572" spans="1:5" x14ac:dyDescent="0.25">
      <c r="A572" t="s">
        <v>1227</v>
      </c>
      <c r="B572">
        <v>7</v>
      </c>
      <c r="C572" s="175">
        <v>45604</v>
      </c>
      <c r="D572" s="175">
        <v>374342</v>
      </c>
      <c r="E572" s="175">
        <v>45604</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20"/>
  <sheetViews>
    <sheetView showGridLines="0" zoomScale="85" zoomScaleNormal="85" workbookViewId="0"/>
  </sheetViews>
  <sheetFormatPr defaultRowHeight="13.8" x14ac:dyDescent="0.25"/>
  <cols>
    <col min="1" max="1" width="3.69921875" customWidth="1"/>
    <col min="2" max="2" width="34.8984375" customWidth="1"/>
    <col min="3" max="3" width="15.8984375" customWidth="1"/>
    <col min="4" max="4" width="12.296875" customWidth="1"/>
    <col min="5" max="5" width="12.5" customWidth="1"/>
    <col min="6" max="6" width="37.19921875" customWidth="1"/>
    <col min="7" max="7" width="11.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27" t="s">
        <v>1228</v>
      </c>
      <c r="C2" s="11"/>
      <c r="D2" s="11"/>
      <c r="E2" s="11"/>
      <c r="F2" s="11"/>
      <c r="G2" s="11"/>
      <c r="H2" s="11"/>
      <c r="I2" s="11"/>
      <c r="J2" s="11"/>
      <c r="K2" s="11"/>
      <c r="L2" s="11"/>
    </row>
    <row r="5" spans="2:12" x14ac:dyDescent="0.25">
      <c r="B5" s="50" t="s">
        <v>8</v>
      </c>
      <c r="C5" t="s" vm="1">
        <v>26</v>
      </c>
    </row>
    <row r="6" spans="2:12" x14ac:dyDescent="0.25">
      <c r="B6" s="50" t="s">
        <v>9</v>
      </c>
      <c r="C6" t="s" vm="2">
        <v>1229</v>
      </c>
    </row>
    <row r="7" spans="2:12" x14ac:dyDescent="0.25">
      <c r="B7" s="50" t="s">
        <v>10</v>
      </c>
      <c r="C7" t="s" vm="3">
        <v>40</v>
      </c>
    </row>
    <row r="9" spans="2:12" x14ac:dyDescent="0.25">
      <c r="B9" s="50" t="s">
        <v>1230</v>
      </c>
      <c r="C9" s="50" t="s">
        <v>1231</v>
      </c>
    </row>
    <row r="10" spans="2:12" x14ac:dyDescent="0.25">
      <c r="B10" s="50" t="s">
        <v>1232</v>
      </c>
      <c r="C10" t="s">
        <v>613</v>
      </c>
      <c r="D10" t="s">
        <v>614</v>
      </c>
      <c r="E10" t="s">
        <v>616</v>
      </c>
      <c r="F10" t="s">
        <v>619</v>
      </c>
      <c r="G10" t="s">
        <v>1227</v>
      </c>
    </row>
    <row r="11" spans="2:12" x14ac:dyDescent="0.25">
      <c r="B11" s="51" t="s">
        <v>74</v>
      </c>
      <c r="C11">
        <v>3</v>
      </c>
      <c r="D11">
        <v>17</v>
      </c>
      <c r="G11">
        <v>20</v>
      </c>
    </row>
    <row r="12" spans="2:12" x14ac:dyDescent="0.25">
      <c r="B12" s="51" t="s">
        <v>123</v>
      </c>
      <c r="D12">
        <v>50</v>
      </c>
      <c r="E12">
        <v>22</v>
      </c>
      <c r="G12">
        <v>72</v>
      </c>
    </row>
    <row r="13" spans="2:12" x14ac:dyDescent="0.25">
      <c r="B13" s="51" t="s">
        <v>94</v>
      </c>
      <c r="C13">
        <v>2</v>
      </c>
      <c r="D13">
        <v>30</v>
      </c>
      <c r="F13">
        <v>1</v>
      </c>
      <c r="G13">
        <v>33</v>
      </c>
    </row>
    <row r="14" spans="2:12" x14ac:dyDescent="0.25">
      <c r="B14" s="51" t="s">
        <v>88</v>
      </c>
      <c r="C14">
        <v>1</v>
      </c>
      <c r="D14">
        <v>14</v>
      </c>
      <c r="G14">
        <v>15</v>
      </c>
    </row>
    <row r="15" spans="2:12" x14ac:dyDescent="0.25">
      <c r="B15" s="51" t="s">
        <v>55</v>
      </c>
      <c r="C15">
        <v>4</v>
      </c>
      <c r="D15">
        <v>13</v>
      </c>
      <c r="G15">
        <v>17</v>
      </c>
    </row>
    <row r="16" spans="2:12" x14ac:dyDescent="0.25">
      <c r="B16" s="51" t="s">
        <v>37</v>
      </c>
      <c r="F16">
        <v>12</v>
      </c>
      <c r="G16">
        <v>12</v>
      </c>
    </row>
    <row r="17" spans="2:7" x14ac:dyDescent="0.25">
      <c r="B17" s="51" t="s">
        <v>1227</v>
      </c>
      <c r="C17">
        <v>10</v>
      </c>
      <c r="D17">
        <v>124</v>
      </c>
      <c r="E17">
        <v>22</v>
      </c>
      <c r="F17">
        <v>13</v>
      </c>
      <c r="G17">
        <v>169</v>
      </c>
    </row>
    <row r="23" spans="2:7" x14ac:dyDescent="0.25">
      <c r="B23" s="50" t="s">
        <v>8</v>
      </c>
      <c r="C23" t="s" vm="1">
        <v>26</v>
      </c>
    </row>
    <row r="24" spans="2:7" x14ac:dyDescent="0.25">
      <c r="B24" s="50" t="s">
        <v>9</v>
      </c>
      <c r="C24" t="s" vm="2">
        <v>1229</v>
      </c>
    </row>
    <row r="25" spans="2:7" x14ac:dyDescent="0.25">
      <c r="B25" s="50" t="s">
        <v>10</v>
      </c>
      <c r="C25" t="s" vm="3">
        <v>40</v>
      </c>
    </row>
    <row r="27" spans="2:7" x14ac:dyDescent="0.25">
      <c r="B27" s="50" t="s">
        <v>1232</v>
      </c>
      <c r="C27" t="s">
        <v>1230</v>
      </c>
    </row>
    <row r="28" spans="2:7" x14ac:dyDescent="0.25">
      <c r="B28" s="51" t="s">
        <v>613</v>
      </c>
      <c r="C28">
        <v>10</v>
      </c>
    </row>
    <row r="29" spans="2:7" x14ac:dyDescent="0.25">
      <c r="B29" s="51" t="s">
        <v>614</v>
      </c>
      <c r="C29">
        <v>124</v>
      </c>
    </row>
    <row r="30" spans="2:7" x14ac:dyDescent="0.25">
      <c r="B30" s="51" t="s">
        <v>616</v>
      </c>
      <c r="C30">
        <v>22</v>
      </c>
    </row>
    <row r="31" spans="2:7" x14ac:dyDescent="0.25">
      <c r="B31" s="51" t="s">
        <v>619</v>
      </c>
      <c r="C31">
        <v>13</v>
      </c>
    </row>
    <row r="32" spans="2:7" x14ac:dyDescent="0.25">
      <c r="B32" s="51" t="s">
        <v>1227</v>
      </c>
      <c r="C32">
        <v>169</v>
      </c>
    </row>
    <row r="42" spans="2:16" ht="22.2" x14ac:dyDescent="0.55000000000000004">
      <c r="B42" s="127" t="s">
        <v>635</v>
      </c>
      <c r="C42" s="11"/>
      <c r="D42" s="11"/>
      <c r="E42" s="11"/>
      <c r="F42" s="11"/>
      <c r="G42" s="11"/>
      <c r="H42" s="11"/>
      <c r="I42" s="11"/>
      <c r="J42" s="11"/>
      <c r="K42" s="11"/>
      <c r="L42" s="11"/>
      <c r="M42" s="11"/>
      <c r="N42" s="11"/>
      <c r="O42" s="11"/>
      <c r="P42" s="11"/>
    </row>
    <row r="44" spans="2:16" x14ac:dyDescent="0.25">
      <c r="B44" s="50" t="s">
        <v>8</v>
      </c>
      <c r="C44" t="s" vm="1">
        <v>26</v>
      </c>
    </row>
    <row r="45" spans="2:16" x14ac:dyDescent="0.25">
      <c r="B45" s="50" t="s">
        <v>9</v>
      </c>
      <c r="C45" t="s" vm="4">
        <v>1229</v>
      </c>
    </row>
    <row r="46" spans="2:16" x14ac:dyDescent="0.25">
      <c r="B46" s="50" t="s">
        <v>10</v>
      </c>
      <c r="C46" t="s" vm="3">
        <v>40</v>
      </c>
    </row>
    <row r="48" spans="2:16" x14ac:dyDescent="0.25">
      <c r="B48" s="50" t="s">
        <v>1230</v>
      </c>
      <c r="C48" s="50" t="s">
        <v>1231</v>
      </c>
    </row>
    <row r="49" spans="2:7" x14ac:dyDescent="0.25">
      <c r="B49" s="50" t="s">
        <v>1232</v>
      </c>
      <c r="C49" t="s">
        <v>613</v>
      </c>
      <c r="D49" t="s">
        <v>614</v>
      </c>
      <c r="E49" t="s">
        <v>1931</v>
      </c>
      <c r="F49" t="s">
        <v>619</v>
      </c>
      <c r="G49" t="s">
        <v>1227</v>
      </c>
    </row>
    <row r="50" spans="2:7" x14ac:dyDescent="0.25">
      <c r="B50" s="51" t="s">
        <v>182</v>
      </c>
      <c r="C50">
        <v>2</v>
      </c>
      <c r="D50">
        <v>12</v>
      </c>
      <c r="E50">
        <v>16</v>
      </c>
      <c r="G50">
        <v>30</v>
      </c>
    </row>
    <row r="51" spans="2:7" x14ac:dyDescent="0.25">
      <c r="B51" s="51" t="s">
        <v>334</v>
      </c>
      <c r="C51">
        <v>1</v>
      </c>
      <c r="D51">
        <v>1</v>
      </c>
      <c r="F51">
        <v>12</v>
      </c>
      <c r="G51">
        <v>14</v>
      </c>
    </row>
    <row r="52" spans="2:7" x14ac:dyDescent="0.25">
      <c r="B52" s="51" t="s">
        <v>332</v>
      </c>
      <c r="D52">
        <v>8</v>
      </c>
      <c r="F52">
        <v>7</v>
      </c>
      <c r="G52">
        <v>15</v>
      </c>
    </row>
    <row r="53" spans="2:7" x14ac:dyDescent="0.25">
      <c r="B53" s="51" t="s">
        <v>326</v>
      </c>
      <c r="D53">
        <v>2</v>
      </c>
      <c r="F53">
        <v>30</v>
      </c>
      <c r="G53">
        <v>32</v>
      </c>
    </row>
    <row r="54" spans="2:7" x14ac:dyDescent="0.25">
      <c r="B54" s="51" t="s">
        <v>312</v>
      </c>
      <c r="D54">
        <v>8</v>
      </c>
      <c r="E54">
        <v>6</v>
      </c>
      <c r="F54">
        <v>4</v>
      </c>
      <c r="G54">
        <v>18</v>
      </c>
    </row>
    <row r="55" spans="2:7" x14ac:dyDescent="0.25">
      <c r="B55" s="51" t="s">
        <v>217</v>
      </c>
      <c r="D55">
        <v>6</v>
      </c>
      <c r="G55">
        <v>6</v>
      </c>
    </row>
    <row r="56" spans="2:7" x14ac:dyDescent="0.25">
      <c r="B56" s="51" t="s">
        <v>216</v>
      </c>
      <c r="D56">
        <v>41</v>
      </c>
      <c r="G56">
        <v>41</v>
      </c>
    </row>
    <row r="57" spans="2:7" x14ac:dyDescent="0.25">
      <c r="B57" s="51" t="s">
        <v>214</v>
      </c>
      <c r="C57">
        <v>3</v>
      </c>
      <c r="D57">
        <v>6</v>
      </c>
      <c r="G57">
        <v>9</v>
      </c>
    </row>
    <row r="58" spans="2:7" x14ac:dyDescent="0.25">
      <c r="B58" s="51" t="s">
        <v>213</v>
      </c>
      <c r="D58">
        <v>17</v>
      </c>
      <c r="G58">
        <v>17</v>
      </c>
    </row>
    <row r="59" spans="2:7" x14ac:dyDescent="0.25">
      <c r="B59" s="51" t="s">
        <v>218</v>
      </c>
      <c r="D59">
        <v>17</v>
      </c>
      <c r="G59">
        <v>17</v>
      </c>
    </row>
    <row r="60" spans="2:7" x14ac:dyDescent="0.25">
      <c r="B60" s="51" t="s">
        <v>219</v>
      </c>
      <c r="C60">
        <v>7</v>
      </c>
      <c r="D60">
        <v>14</v>
      </c>
      <c r="G60">
        <v>21</v>
      </c>
    </row>
    <row r="61" spans="2:7" x14ac:dyDescent="0.25">
      <c r="B61" s="51" t="s">
        <v>220</v>
      </c>
      <c r="C61">
        <v>1</v>
      </c>
      <c r="D61">
        <v>17</v>
      </c>
      <c r="G61">
        <v>18</v>
      </c>
    </row>
    <row r="62" spans="2:7" x14ac:dyDescent="0.25">
      <c r="B62" s="51" t="s">
        <v>215</v>
      </c>
      <c r="D62">
        <v>7</v>
      </c>
      <c r="G62">
        <v>7</v>
      </c>
    </row>
    <row r="63" spans="2:7" x14ac:dyDescent="0.25">
      <c r="B63" s="51" t="s">
        <v>1227</v>
      </c>
      <c r="C63">
        <v>14</v>
      </c>
      <c r="D63">
        <v>156</v>
      </c>
      <c r="E63">
        <v>22</v>
      </c>
      <c r="F63">
        <v>53</v>
      </c>
      <c r="G63">
        <v>245</v>
      </c>
    </row>
    <row r="68" spans="2:3" x14ac:dyDescent="0.25">
      <c r="B68" s="50" t="s">
        <v>8</v>
      </c>
      <c r="C68" t="s" vm="1">
        <v>26</v>
      </c>
    </row>
    <row r="69" spans="2:3" x14ac:dyDescent="0.25">
      <c r="B69" s="50" t="s">
        <v>9</v>
      </c>
      <c r="C69" t="s" vm="4">
        <v>1229</v>
      </c>
    </row>
    <row r="70" spans="2:3" x14ac:dyDescent="0.25">
      <c r="B70" s="50" t="s">
        <v>10</v>
      </c>
      <c r="C70" t="s" vm="3">
        <v>40</v>
      </c>
    </row>
    <row r="72" spans="2:3" x14ac:dyDescent="0.25">
      <c r="B72" s="50" t="s">
        <v>1232</v>
      </c>
      <c r="C72" t="s">
        <v>1230</v>
      </c>
    </row>
    <row r="73" spans="2:3" x14ac:dyDescent="0.25">
      <c r="B73" s="51" t="s">
        <v>613</v>
      </c>
      <c r="C73">
        <v>14</v>
      </c>
    </row>
    <row r="74" spans="2:3" x14ac:dyDescent="0.25">
      <c r="B74" s="51" t="s">
        <v>614</v>
      </c>
      <c r="C74">
        <v>156</v>
      </c>
    </row>
    <row r="75" spans="2:3" x14ac:dyDescent="0.25">
      <c r="B75" s="51" t="s">
        <v>1931</v>
      </c>
      <c r="C75">
        <v>22</v>
      </c>
    </row>
    <row r="76" spans="2:3" x14ac:dyDescent="0.25">
      <c r="B76" s="51" t="s">
        <v>619</v>
      </c>
      <c r="C76">
        <v>53</v>
      </c>
    </row>
    <row r="77" spans="2:3" x14ac:dyDescent="0.25">
      <c r="B77" s="51" t="s">
        <v>1227</v>
      </c>
      <c r="C77">
        <v>245</v>
      </c>
    </row>
    <row r="87" spans="2:16" ht="22.2" x14ac:dyDescent="0.55000000000000004">
      <c r="B87" s="127" t="s">
        <v>644</v>
      </c>
      <c r="C87" s="11"/>
      <c r="D87" s="11"/>
      <c r="E87" s="11"/>
      <c r="F87" s="11"/>
      <c r="G87" s="11"/>
      <c r="H87" s="11"/>
      <c r="I87" s="11"/>
      <c r="J87" s="11"/>
      <c r="K87" s="11"/>
      <c r="L87" s="11"/>
      <c r="M87" s="11"/>
      <c r="N87" s="11"/>
      <c r="O87" s="11"/>
      <c r="P87" s="11"/>
    </row>
    <row r="88" spans="2:16" ht="22.2" x14ac:dyDescent="0.55000000000000004">
      <c r="B88" s="139"/>
    </row>
    <row r="90" spans="2:16" x14ac:dyDescent="0.25">
      <c r="B90" s="50" t="s">
        <v>8</v>
      </c>
      <c r="C90" t="s" vm="1">
        <v>26</v>
      </c>
    </row>
    <row r="91" spans="2:16" x14ac:dyDescent="0.25">
      <c r="B91" s="50" t="s">
        <v>9</v>
      </c>
      <c r="C91" t="s" vm="5">
        <v>26</v>
      </c>
    </row>
    <row r="92" spans="2:16" x14ac:dyDescent="0.25">
      <c r="B92" s="50" t="s">
        <v>10</v>
      </c>
      <c r="C92" t="s" vm="3">
        <v>40</v>
      </c>
    </row>
    <row r="94" spans="2:16" x14ac:dyDescent="0.25">
      <c r="B94" s="50" t="s">
        <v>1230</v>
      </c>
      <c r="C94" s="50" t="s">
        <v>1231</v>
      </c>
    </row>
    <row r="95" spans="2:16" x14ac:dyDescent="0.25">
      <c r="B95" s="50" t="s">
        <v>1232</v>
      </c>
      <c r="C95" t="s">
        <v>614</v>
      </c>
      <c r="D95" t="s">
        <v>1931</v>
      </c>
      <c r="E95" t="s">
        <v>615</v>
      </c>
      <c r="F95" t="s">
        <v>619</v>
      </c>
      <c r="G95" t="s">
        <v>1227</v>
      </c>
    </row>
    <row r="96" spans="2:16" x14ac:dyDescent="0.25">
      <c r="B96" s="51" t="s">
        <v>380</v>
      </c>
      <c r="C96">
        <v>21</v>
      </c>
      <c r="D96">
        <v>3</v>
      </c>
      <c r="F96">
        <v>6</v>
      </c>
      <c r="G96">
        <v>30</v>
      </c>
    </row>
    <row r="97" spans="2:7" x14ac:dyDescent="0.25">
      <c r="B97" s="51" t="s">
        <v>336</v>
      </c>
      <c r="C97">
        <v>12</v>
      </c>
      <c r="E97">
        <v>24</v>
      </c>
      <c r="F97">
        <v>7</v>
      </c>
      <c r="G97">
        <v>43</v>
      </c>
    </row>
    <row r="98" spans="2:7" x14ac:dyDescent="0.25">
      <c r="B98" s="51" t="s">
        <v>369</v>
      </c>
      <c r="C98">
        <v>2</v>
      </c>
      <c r="D98">
        <v>3</v>
      </c>
      <c r="E98">
        <v>2</v>
      </c>
      <c r="F98">
        <v>17</v>
      </c>
      <c r="G98">
        <v>24</v>
      </c>
    </row>
    <row r="99" spans="2:7" x14ac:dyDescent="0.25">
      <c r="B99" s="51" t="s">
        <v>440</v>
      </c>
      <c r="C99">
        <v>5</v>
      </c>
      <c r="G99">
        <v>5</v>
      </c>
    </row>
    <row r="100" spans="2:7" x14ac:dyDescent="0.25">
      <c r="B100" s="51" t="s">
        <v>442</v>
      </c>
      <c r="C100">
        <v>5</v>
      </c>
      <c r="G100">
        <v>5</v>
      </c>
    </row>
    <row r="101" spans="2:7" x14ac:dyDescent="0.25">
      <c r="B101" s="51" t="s">
        <v>1965</v>
      </c>
      <c r="F101">
        <v>4</v>
      </c>
      <c r="G101">
        <v>4</v>
      </c>
    </row>
    <row r="102" spans="2:7" x14ac:dyDescent="0.25">
      <c r="B102" s="51" t="s">
        <v>393</v>
      </c>
      <c r="C102">
        <v>9</v>
      </c>
      <c r="G102">
        <v>9</v>
      </c>
    </row>
    <row r="103" spans="2:7" x14ac:dyDescent="0.25">
      <c r="B103" s="51" t="s">
        <v>1966</v>
      </c>
      <c r="F103">
        <v>15</v>
      </c>
      <c r="G103">
        <v>15</v>
      </c>
    </row>
    <row r="104" spans="2:7" x14ac:dyDescent="0.25">
      <c r="B104" s="51" t="s">
        <v>1227</v>
      </c>
      <c r="C104">
        <v>54</v>
      </c>
      <c r="D104">
        <v>6</v>
      </c>
      <c r="E104">
        <v>26</v>
      </c>
      <c r="F104">
        <v>49</v>
      </c>
      <c r="G104">
        <v>135</v>
      </c>
    </row>
    <row r="108" spans="2:7" x14ac:dyDescent="0.25">
      <c r="B108" s="51"/>
    </row>
    <row r="109" spans="2:7" x14ac:dyDescent="0.25">
      <c r="B109" s="51"/>
    </row>
    <row r="111" spans="2:7" x14ac:dyDescent="0.25">
      <c r="B111" s="50" t="s">
        <v>8</v>
      </c>
      <c r="C111" t="s" vm="1">
        <v>26</v>
      </c>
    </row>
    <row r="112" spans="2:7" x14ac:dyDescent="0.25">
      <c r="B112" s="50" t="s">
        <v>9</v>
      </c>
      <c r="C112" t="s" vm="5">
        <v>26</v>
      </c>
    </row>
    <row r="113" spans="2:3" x14ac:dyDescent="0.25">
      <c r="B113" s="50" t="s">
        <v>10</v>
      </c>
      <c r="C113" t="s" vm="3">
        <v>40</v>
      </c>
    </row>
    <row r="115" spans="2:3" x14ac:dyDescent="0.25">
      <c r="B115" s="50" t="s">
        <v>1232</v>
      </c>
      <c r="C115" t="s">
        <v>1230</v>
      </c>
    </row>
    <row r="116" spans="2:3" x14ac:dyDescent="0.25">
      <c r="B116" s="51" t="s">
        <v>614</v>
      </c>
      <c r="C116">
        <v>54</v>
      </c>
    </row>
    <row r="117" spans="2:3" x14ac:dyDescent="0.25">
      <c r="B117" s="51" t="s">
        <v>619</v>
      </c>
      <c r="C117">
        <v>49</v>
      </c>
    </row>
    <row r="118" spans="2:3" x14ac:dyDescent="0.25">
      <c r="B118" s="51" t="s">
        <v>615</v>
      </c>
      <c r="C118">
        <v>26</v>
      </c>
    </row>
    <row r="119" spans="2:3" x14ac:dyDescent="0.25">
      <c r="B119" s="51" t="s">
        <v>1931</v>
      </c>
      <c r="C119">
        <v>6</v>
      </c>
    </row>
    <row r="120" spans="2:3" x14ac:dyDescent="0.25">
      <c r="B120" s="51" t="s">
        <v>1227</v>
      </c>
      <c r="C120">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zoomScale="70" zoomScaleNormal="70" workbookViewId="0">
      <selection activeCell="I518" sqref="I518:I543"/>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1233</v>
      </c>
      <c r="R7" t="s">
        <v>1234</v>
      </c>
    </row>
    <row r="8" spans="1:45" ht="15" customHeight="1" x14ac:dyDescent="0.25">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x14ac:dyDescent="0.45">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x14ac:dyDescent="0.45">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8"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x14ac:dyDescent="0.45">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8"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x14ac:dyDescent="0.25">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8"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x14ac:dyDescent="0.25">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8"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x14ac:dyDescent="0.45">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8"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x14ac:dyDescent="0.45">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8"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x14ac:dyDescent="0.45">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8"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x14ac:dyDescent="0.45">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8"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x14ac:dyDescent="0.45">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8"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x14ac:dyDescent="0.45">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8"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x14ac:dyDescent="0.45">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8"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x14ac:dyDescent="0.45">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8"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x14ac:dyDescent="0.45">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8"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x14ac:dyDescent="0.45">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8"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x14ac:dyDescent="0.25">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8"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x14ac:dyDescent="0.25">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8"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x14ac:dyDescent="0.45">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8"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x14ac:dyDescent="0.45">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8"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x14ac:dyDescent="0.45">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8"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x14ac:dyDescent="0.45">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8"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x14ac:dyDescent="0.45">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8"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x14ac:dyDescent="0.45">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8"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x14ac:dyDescent="0.45">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8"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x14ac:dyDescent="0.45">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8"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x14ac:dyDescent="0.25">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x14ac:dyDescent="0.25">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x14ac:dyDescent="0.25">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x14ac:dyDescent="0.25">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x14ac:dyDescent="0.25">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x14ac:dyDescent="0.25">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x14ac:dyDescent="0.25">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x14ac:dyDescent="0.25">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x14ac:dyDescent="0.25">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x14ac:dyDescent="0.45">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x14ac:dyDescent="0.25">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x14ac:dyDescent="0.25">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x14ac:dyDescent="0.25">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x14ac:dyDescent="0.25">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x14ac:dyDescent="0.25">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x14ac:dyDescent="0.25">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x14ac:dyDescent="0.25">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x14ac:dyDescent="0.25">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x14ac:dyDescent="0.25">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x14ac:dyDescent="0.25">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x14ac:dyDescent="0.25">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x14ac:dyDescent="0.25">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x14ac:dyDescent="0.25">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x14ac:dyDescent="0.25">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x14ac:dyDescent="0.25">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x14ac:dyDescent="0.25">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x14ac:dyDescent="0.25">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x14ac:dyDescent="0.25">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x14ac:dyDescent="0.25">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x14ac:dyDescent="0.25">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x14ac:dyDescent="0.25">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x14ac:dyDescent="0.25">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x14ac:dyDescent="0.25">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x14ac:dyDescent="0.25">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x14ac:dyDescent="0.25">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x14ac:dyDescent="0.25">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x14ac:dyDescent="0.25">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x14ac:dyDescent="0.25">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x14ac:dyDescent="0.25">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x14ac:dyDescent="0.25">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x14ac:dyDescent="0.25">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x14ac:dyDescent="0.25">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x14ac:dyDescent="0.25">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x14ac:dyDescent="0.25">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x14ac:dyDescent="0.25">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x14ac:dyDescent="0.25">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x14ac:dyDescent="0.25">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x14ac:dyDescent="0.25">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x14ac:dyDescent="0.25">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x14ac:dyDescent="0.25">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x14ac:dyDescent="0.25">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x14ac:dyDescent="0.25">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x14ac:dyDescent="0.25">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x14ac:dyDescent="0.25">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x14ac:dyDescent="0.25">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x14ac:dyDescent="0.25">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x14ac:dyDescent="0.25">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x14ac:dyDescent="0.25">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x14ac:dyDescent="0.25">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x14ac:dyDescent="0.25">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x14ac:dyDescent="0.25">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x14ac:dyDescent="0.25">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x14ac:dyDescent="0.25">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x14ac:dyDescent="0.25">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x14ac:dyDescent="0.25">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x14ac:dyDescent="0.25">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x14ac:dyDescent="0.25">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x14ac:dyDescent="0.25">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x14ac:dyDescent="0.25">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x14ac:dyDescent="0.25">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x14ac:dyDescent="0.25">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x14ac:dyDescent="0.25">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x14ac:dyDescent="0.25">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x14ac:dyDescent="0.25">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x14ac:dyDescent="0.25">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x14ac:dyDescent="0.25">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x14ac:dyDescent="0.25">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x14ac:dyDescent="0.25">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x14ac:dyDescent="0.25">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x14ac:dyDescent="0.25">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x14ac:dyDescent="0.25">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x14ac:dyDescent="0.25">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x14ac:dyDescent="0.25">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x14ac:dyDescent="0.25">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x14ac:dyDescent="0.25">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x14ac:dyDescent="0.25">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x14ac:dyDescent="0.25">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x14ac:dyDescent="0.25">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x14ac:dyDescent="0.25">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x14ac:dyDescent="0.25">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x14ac:dyDescent="0.25">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x14ac:dyDescent="0.25">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x14ac:dyDescent="0.25">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x14ac:dyDescent="0.25">
      <c r="B127" s="2" t="s">
        <v>26</v>
      </c>
      <c r="C127" s="2" t="s">
        <v>54</v>
      </c>
      <c r="D127" s="2"/>
      <c r="E127" s="2" t="s">
        <v>38</v>
      </c>
      <c r="F127" s="2" t="s">
        <v>94</v>
      </c>
      <c r="G127" s="2" t="s">
        <v>1947</v>
      </c>
      <c r="H127" s="57" t="str">
        <f>Table1[[#This Row],[Tabela]]&amp;Table1[[#This Row],[Campo]]</f>
        <v>PROPERTYCGARANT_BEM</v>
      </c>
      <c r="I127" s="2" t="s">
        <v>619</v>
      </c>
      <c r="J127" s="43">
        <f>VLOOKUP(Table1[[#This Row],[Status]],Auxiliar!$B$16:$C$24,2,0)</f>
        <v>7</v>
      </c>
      <c r="K127" s="2" t="s">
        <v>1252</v>
      </c>
      <c r="L127" s="2"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x14ac:dyDescent="0.25">
      <c r="B128" s="2" t="s">
        <v>26</v>
      </c>
      <c r="C128" s="2" t="s">
        <v>54</v>
      </c>
      <c r="D128" s="2"/>
      <c r="E128" s="2" t="s">
        <v>38</v>
      </c>
      <c r="F128" s="2" t="s">
        <v>94</v>
      </c>
      <c r="G128" s="2" t="s">
        <v>1947</v>
      </c>
      <c r="H128" s="57" t="str">
        <f>Table1[[#This Row],[Tabela]]&amp;Table1[[#This Row],[Campo]]</f>
        <v>PROPERTYCGARANT_BEM</v>
      </c>
      <c r="I128" s="2" t="s">
        <v>619</v>
      </c>
      <c r="J128" s="43">
        <f>VLOOKUP(Table1[[#This Row],[Status]],Auxiliar!$B$16:$C$24,2,0)</f>
        <v>7</v>
      </c>
      <c r="K128" s="2" t="s">
        <v>1253</v>
      </c>
      <c r="L128" s="2"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x14ac:dyDescent="0.25">
      <c r="B129" s="2" t="s">
        <v>26</v>
      </c>
      <c r="C129" s="2" t="s">
        <v>54</v>
      </c>
      <c r="D129" s="2"/>
      <c r="E129" s="2" t="s">
        <v>38</v>
      </c>
      <c r="F129" s="2" t="s">
        <v>94</v>
      </c>
      <c r="G129" s="2" t="s">
        <v>1947</v>
      </c>
      <c r="H129" s="57" t="str">
        <f>Table1[[#This Row],[Tabela]]&amp;Table1[[#This Row],[Campo]]</f>
        <v>PROPERTYCGARANT_BEM</v>
      </c>
      <c r="I129" s="2" t="s">
        <v>619</v>
      </c>
      <c r="J129" s="43">
        <f>VLOOKUP(Table1[[#This Row],[Status]],Auxiliar!$B$16:$C$24,2,0)</f>
        <v>7</v>
      </c>
      <c r="K129" s="2" t="s">
        <v>1255</v>
      </c>
      <c r="L129" s="2"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x14ac:dyDescent="0.25">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x14ac:dyDescent="0.25">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x14ac:dyDescent="0.25">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x14ac:dyDescent="0.25">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x14ac:dyDescent="0.25">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x14ac:dyDescent="0.25">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x14ac:dyDescent="0.25">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x14ac:dyDescent="0.25">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x14ac:dyDescent="0.25">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x14ac:dyDescent="0.25">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x14ac:dyDescent="0.25">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x14ac:dyDescent="0.25">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x14ac:dyDescent="0.25">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x14ac:dyDescent="0.25">
      <c r="B143" s="2" t="s">
        <v>26</v>
      </c>
      <c r="C143" s="2" t="s">
        <v>54</v>
      </c>
      <c r="D143" s="2" t="s">
        <v>124</v>
      </c>
      <c r="E143" s="2" t="s">
        <v>38</v>
      </c>
      <c r="F143" s="2" t="s">
        <v>123</v>
      </c>
      <c r="G143" s="2" t="s">
        <v>125</v>
      </c>
      <c r="H143" s="57" t="str">
        <f>Table1[[#This Row],[Tabela]]&amp;Table1[[#This Row],[Campo]]</f>
        <v>PROPERTY_ENERGY_CERTIFICATELAND_REGISTRY_OFFICE_CODE</v>
      </c>
      <c r="I143" s="2" t="s">
        <v>616</v>
      </c>
      <c r="J143" s="43">
        <f>VLOOKUP(Table1[[#This Row],[Status]],Auxiliar!$B$16:$C$24,2,0)</f>
        <v>5</v>
      </c>
      <c r="K143" s="2" t="s">
        <v>1252</v>
      </c>
      <c r="L143" s="29" t="s">
        <v>1250</v>
      </c>
      <c r="M143" s="21" t="s">
        <v>1259</v>
      </c>
      <c r="N143" s="48">
        <v>45604</v>
      </c>
      <c r="O143" s="21">
        <f>INDEX(Auxiliar!$D$5:$F$13,MATCH(Table1[[#This Row],[Tipologia_Testes]],Auxiliar!$B$5:$B$13,0),MATCH(Table1[[#This Row],[Complexidade]],Auxiliar!$D$4:$F$4,0))</f>
        <v>2</v>
      </c>
      <c r="P143" s="2" t="s">
        <v>1276</v>
      </c>
      <c r="Q143" s="2"/>
      <c r="R143" s="152">
        <v>45261</v>
      </c>
      <c r="S143" s="152"/>
      <c r="T143" s="152">
        <v>45603</v>
      </c>
      <c r="U143" s="152">
        <v>45607</v>
      </c>
      <c r="V143" s="152">
        <v>45600</v>
      </c>
      <c r="W143" s="2">
        <f>VLOOKUP(Table1[[#This Row],[Status]],Auxiliar!$B$16:$D$24,3,0)*Table1[[#This Row],[Estimação (horas)]]</f>
        <v>0.5</v>
      </c>
      <c r="X143" s="2"/>
    </row>
    <row r="144" spans="2:24" ht="17.7" hidden="1" customHeight="1" x14ac:dyDescent="0.25">
      <c r="B144" s="2" t="s">
        <v>26</v>
      </c>
      <c r="C144" s="2" t="s">
        <v>54</v>
      </c>
      <c r="D144" s="2" t="s">
        <v>124</v>
      </c>
      <c r="E144" s="2" t="s">
        <v>38</v>
      </c>
      <c r="F144" s="2" t="s">
        <v>123</v>
      </c>
      <c r="G144" s="2" t="s">
        <v>125</v>
      </c>
      <c r="H144" s="57" t="str">
        <f>Table1[[#This Row],[Tabela]]&amp;Table1[[#This Row],[Campo]]</f>
        <v>PROPERTY_ENERGY_CERTIFICATELAND_REGISTRY_OFFICE_CODE</v>
      </c>
      <c r="I144" s="2" t="s">
        <v>616</v>
      </c>
      <c r="J144" s="43">
        <f>VLOOKUP(Table1[[#This Row],[Status]],Auxiliar!$B$16:$C$24,2,0)</f>
        <v>5</v>
      </c>
      <c r="K144" s="2" t="s">
        <v>1253</v>
      </c>
      <c r="L144" s="29" t="s">
        <v>1250</v>
      </c>
      <c r="M144" s="21" t="s">
        <v>1259</v>
      </c>
      <c r="N144" s="48">
        <v>45604</v>
      </c>
      <c r="O144" s="21">
        <f>INDEX(Auxiliar!$D$5:$F$13,MATCH(Table1[[#This Row],[Tipologia_Testes]],Auxiliar!$B$5:$B$13,0),MATCH(Table1[[#This Row],[Complexidade]],Auxiliar!$D$4:$F$4,0))</f>
        <v>2</v>
      </c>
      <c r="P144" s="2" t="s">
        <v>1276</v>
      </c>
      <c r="Q144" s="2"/>
      <c r="R144" s="152">
        <v>45261</v>
      </c>
      <c r="S144" s="152"/>
      <c r="T144" s="152">
        <v>45603</v>
      </c>
      <c r="U144" s="152">
        <v>45607</v>
      </c>
      <c r="V144" s="152">
        <v>45600</v>
      </c>
      <c r="W144" s="2">
        <f>VLOOKUP(Table1[[#This Row],[Status]],Auxiliar!$B$16:$D$24,3,0)*Table1[[#This Row],[Estimação (horas)]]</f>
        <v>0.5</v>
      </c>
      <c r="X144" s="2"/>
    </row>
    <row r="145" spans="2:24" ht="17.7" hidden="1" customHeight="1" x14ac:dyDescent="0.25">
      <c r="B145" s="2" t="s">
        <v>26</v>
      </c>
      <c r="C145" s="2" t="s">
        <v>54</v>
      </c>
      <c r="D145" s="2" t="s">
        <v>124</v>
      </c>
      <c r="E145" s="2" t="s">
        <v>38</v>
      </c>
      <c r="F145" s="2" t="s">
        <v>123</v>
      </c>
      <c r="G145" s="2" t="s">
        <v>125</v>
      </c>
      <c r="H145" s="57" t="str">
        <f>Table1[[#This Row],[Tabela]]&amp;Table1[[#This Row],[Campo]]</f>
        <v>PROPERTY_ENERGY_CERTIFICATELAND_REGISTRY_OFFICE_CODE</v>
      </c>
      <c r="I145" s="2" t="s">
        <v>616</v>
      </c>
      <c r="J145" s="43">
        <f>VLOOKUP(Table1[[#This Row],[Status]],Auxiliar!$B$16:$C$24,2,0)</f>
        <v>5</v>
      </c>
      <c r="K145" s="2" t="s">
        <v>1255</v>
      </c>
      <c r="L145" s="29" t="s">
        <v>1250</v>
      </c>
      <c r="M145" s="21" t="s">
        <v>1259</v>
      </c>
      <c r="N145" s="48">
        <v>45604</v>
      </c>
      <c r="O145" s="21">
        <f>INDEX(Auxiliar!$D$5:$F$13,MATCH(Table1[[#This Row],[Tipologia_Testes]],Auxiliar!$B$5:$B$13,0),MATCH(Table1[[#This Row],[Complexidade]],Auxiliar!$D$4:$F$4,0))</f>
        <v>0.1</v>
      </c>
      <c r="P145" s="2" t="s">
        <v>1276</v>
      </c>
      <c r="Q145" s="2"/>
      <c r="R145" s="152">
        <v>45261</v>
      </c>
      <c r="S145" s="152"/>
      <c r="T145" s="152">
        <v>45603</v>
      </c>
      <c r="U145" s="152">
        <v>45607</v>
      </c>
      <c r="V145" s="152">
        <v>45600</v>
      </c>
      <c r="W145" s="2">
        <f>VLOOKUP(Table1[[#This Row],[Status]],Auxiliar!$B$16:$D$24,3,0)*Table1[[#This Row],[Estimação (horas)]]</f>
        <v>2.5000000000000001E-2</v>
      </c>
      <c r="X145" s="2"/>
    </row>
    <row r="146" spans="2:24" ht="17.7" hidden="1" customHeight="1" x14ac:dyDescent="0.25">
      <c r="B146" s="2" t="s">
        <v>26</v>
      </c>
      <c r="C146" s="2" t="s">
        <v>54</v>
      </c>
      <c r="D146" s="2" t="s">
        <v>124</v>
      </c>
      <c r="E146" s="2" t="s">
        <v>38</v>
      </c>
      <c r="F146" s="2" t="s">
        <v>123</v>
      </c>
      <c r="G146" s="2" t="s">
        <v>126</v>
      </c>
      <c r="H146" s="57" t="str">
        <f>Table1[[#This Row],[Tabela]]&amp;Table1[[#This Row],[Campo]]</f>
        <v>PROPERTY_ENERGY_CERTIFICATEPROPERTY_IDENTIFICATION_CODE</v>
      </c>
      <c r="I146" s="2" t="s">
        <v>616</v>
      </c>
      <c r="J146" s="43">
        <f>VLOOKUP(Table1[[#This Row],[Status]],Auxiliar!$B$16:$C$24,2,0)</f>
        <v>5</v>
      </c>
      <c r="K146" s="2" t="s">
        <v>1252</v>
      </c>
      <c r="L146" s="29" t="s">
        <v>1250</v>
      </c>
      <c r="M146" s="21" t="s">
        <v>1259</v>
      </c>
      <c r="N146" s="48">
        <v>45604</v>
      </c>
      <c r="O146" s="21">
        <f>INDEX(Auxiliar!$D$5:$F$13,MATCH(Table1[[#This Row],[Tipologia_Testes]],Auxiliar!$B$5:$B$13,0),MATCH(Table1[[#This Row],[Complexidade]],Auxiliar!$D$4:$F$4,0))</f>
        <v>2</v>
      </c>
      <c r="P146" s="2" t="s">
        <v>1276</v>
      </c>
      <c r="Q146" s="2"/>
      <c r="R146" s="152">
        <v>45261</v>
      </c>
      <c r="S146" s="152"/>
      <c r="T146" s="152">
        <v>45603</v>
      </c>
      <c r="U146" s="152">
        <v>45607</v>
      </c>
      <c r="V146" s="152">
        <v>45600</v>
      </c>
      <c r="W146" s="2">
        <f>VLOOKUP(Table1[[#This Row],[Status]],Auxiliar!$B$16:$D$24,3,0)*Table1[[#This Row],[Estimação (horas)]]</f>
        <v>0.5</v>
      </c>
      <c r="X146" s="2"/>
    </row>
    <row r="147" spans="2:24" ht="17.7" hidden="1" customHeight="1" x14ac:dyDescent="0.25">
      <c r="B147" s="2" t="s">
        <v>26</v>
      </c>
      <c r="C147" s="2" t="s">
        <v>54</v>
      </c>
      <c r="D147" s="2" t="s">
        <v>124</v>
      </c>
      <c r="E147" s="2" t="s">
        <v>38</v>
      </c>
      <c r="F147" s="2" t="s">
        <v>123</v>
      </c>
      <c r="G147" s="2" t="s">
        <v>126</v>
      </c>
      <c r="H147" s="57" t="str">
        <f>Table1[[#This Row],[Tabela]]&amp;Table1[[#This Row],[Campo]]</f>
        <v>PROPERTY_ENERGY_CERTIFICATEPROPERTY_IDENTIFICATION_CODE</v>
      </c>
      <c r="I147" s="2" t="s">
        <v>616</v>
      </c>
      <c r="J147" s="43">
        <f>VLOOKUP(Table1[[#This Row],[Status]],Auxiliar!$B$16:$C$24,2,0)</f>
        <v>5</v>
      </c>
      <c r="K147" s="2" t="s">
        <v>1253</v>
      </c>
      <c r="L147" s="29" t="s">
        <v>1250</v>
      </c>
      <c r="M147" s="21" t="s">
        <v>1259</v>
      </c>
      <c r="N147" s="48">
        <v>45604</v>
      </c>
      <c r="O147" s="21">
        <f>INDEX(Auxiliar!$D$5:$F$13,MATCH(Table1[[#This Row],[Tipologia_Testes]],Auxiliar!$B$5:$B$13,0),MATCH(Table1[[#This Row],[Complexidade]],Auxiliar!$D$4:$F$4,0))</f>
        <v>2</v>
      </c>
      <c r="P147" s="2" t="s">
        <v>1276</v>
      </c>
      <c r="Q147" s="2"/>
      <c r="R147" s="152">
        <v>45261</v>
      </c>
      <c r="S147" s="152"/>
      <c r="T147" s="152">
        <v>45603</v>
      </c>
      <c r="U147" s="152">
        <v>45607</v>
      </c>
      <c r="V147" s="152">
        <v>45600</v>
      </c>
      <c r="W147" s="2">
        <f>VLOOKUP(Table1[[#This Row],[Status]],Auxiliar!$B$16:$D$24,3,0)*Table1[[#This Row],[Estimação (horas)]]</f>
        <v>0.5</v>
      </c>
      <c r="X147" s="2"/>
    </row>
    <row r="148" spans="2:24" ht="17.7" hidden="1" customHeight="1" x14ac:dyDescent="0.25">
      <c r="B148" s="2" t="s">
        <v>26</v>
      </c>
      <c r="C148" s="2" t="s">
        <v>54</v>
      </c>
      <c r="D148" s="2" t="s">
        <v>124</v>
      </c>
      <c r="E148" s="2" t="s">
        <v>38</v>
      </c>
      <c r="F148" s="2" t="s">
        <v>123</v>
      </c>
      <c r="G148" s="2" t="s">
        <v>126</v>
      </c>
      <c r="H148" s="57" t="str">
        <f>Table1[[#This Row],[Tabela]]&amp;Table1[[#This Row],[Campo]]</f>
        <v>PROPERTY_ENERGY_CERTIFICATEPROPERTY_IDENTIFICATION_CODE</v>
      </c>
      <c r="I148" s="2" t="s">
        <v>616</v>
      </c>
      <c r="J148" s="43">
        <f>VLOOKUP(Table1[[#This Row],[Status]],Auxiliar!$B$16:$C$24,2,0)</f>
        <v>5</v>
      </c>
      <c r="K148" s="2" t="s">
        <v>1255</v>
      </c>
      <c r="L148" s="29" t="s">
        <v>1250</v>
      </c>
      <c r="M148" s="21" t="s">
        <v>1259</v>
      </c>
      <c r="N148" s="48">
        <v>45604</v>
      </c>
      <c r="O148" s="21">
        <f>INDEX(Auxiliar!$D$5:$F$13,MATCH(Table1[[#This Row],[Tipologia_Testes]],Auxiliar!$B$5:$B$13,0),MATCH(Table1[[#This Row],[Complexidade]],Auxiliar!$D$4:$F$4,0))</f>
        <v>0.1</v>
      </c>
      <c r="P148" s="2" t="s">
        <v>1276</v>
      </c>
      <c r="Q148" s="2"/>
      <c r="R148" s="152">
        <v>45261</v>
      </c>
      <c r="S148" s="152"/>
      <c r="T148" s="152">
        <v>45603</v>
      </c>
      <c r="U148" s="152">
        <v>45607</v>
      </c>
      <c r="V148" s="152">
        <v>45600</v>
      </c>
      <c r="W148" s="2">
        <f>VLOOKUP(Table1[[#This Row],[Status]],Auxiliar!$B$16:$D$24,3,0)*Table1[[#This Row],[Estimação (horas)]]</f>
        <v>2.5000000000000001E-2</v>
      </c>
      <c r="X148" s="2"/>
    </row>
    <row r="149" spans="2:24" ht="17.7" hidden="1" customHeight="1" x14ac:dyDescent="0.25">
      <c r="B149" s="2" t="s">
        <v>26</v>
      </c>
      <c r="C149" s="2" t="s">
        <v>54</v>
      </c>
      <c r="D149" s="2" t="s">
        <v>124</v>
      </c>
      <c r="E149" s="2" t="s">
        <v>38</v>
      </c>
      <c r="F149" s="2" t="s">
        <v>123</v>
      </c>
      <c r="G149" s="2" t="s">
        <v>127</v>
      </c>
      <c r="H149" s="57" t="str">
        <f>Table1[[#This Row],[Tabela]]&amp;Table1[[#This Row],[Campo]]</f>
        <v>PROPERTY_ENERGY_CERTIFICATEENERGY_CERTIFICATION_SYSTEM_CODE</v>
      </c>
      <c r="I149" s="2" t="s">
        <v>616</v>
      </c>
      <c r="J149" s="43">
        <f>VLOOKUP(Table1[[#This Row],[Status]],Auxiliar!$B$16:$C$24,2,0)</f>
        <v>5</v>
      </c>
      <c r="K149" s="2" t="s">
        <v>1252</v>
      </c>
      <c r="L149" s="29" t="s">
        <v>1250</v>
      </c>
      <c r="M149" s="21" t="s">
        <v>1259</v>
      </c>
      <c r="N149" s="48">
        <v>45604</v>
      </c>
      <c r="O149" s="21">
        <f>INDEX(Auxiliar!$D$5:$F$13,MATCH(Table1[[#This Row],[Tipologia_Testes]],Auxiliar!$B$5:$B$13,0),MATCH(Table1[[#This Row],[Complexidade]],Auxiliar!$D$4:$F$4,0))</f>
        <v>2</v>
      </c>
      <c r="P149" s="2" t="s">
        <v>1276</v>
      </c>
      <c r="Q149" s="2"/>
      <c r="R149" s="152">
        <v>45261</v>
      </c>
      <c r="S149" s="152"/>
      <c r="T149" s="152">
        <v>45603</v>
      </c>
      <c r="U149" s="152">
        <v>45607</v>
      </c>
      <c r="V149" s="152">
        <v>45600</v>
      </c>
      <c r="W149" s="2">
        <f>VLOOKUP(Table1[[#This Row],[Status]],Auxiliar!$B$16:$D$24,3,0)*Table1[[#This Row],[Estimação (horas)]]</f>
        <v>0.5</v>
      </c>
      <c r="X149" s="2"/>
    </row>
    <row r="150" spans="2:24" ht="17.7" hidden="1" customHeight="1" x14ac:dyDescent="0.25">
      <c r="B150" s="2" t="s">
        <v>26</v>
      </c>
      <c r="C150" s="2" t="s">
        <v>54</v>
      </c>
      <c r="D150" s="2" t="s">
        <v>124</v>
      </c>
      <c r="E150" s="2" t="s">
        <v>38</v>
      </c>
      <c r="F150" s="2" t="s">
        <v>123</v>
      </c>
      <c r="G150" s="2" t="s">
        <v>127</v>
      </c>
      <c r="H150" s="57" t="str">
        <f>Table1[[#This Row],[Tabela]]&amp;Table1[[#This Row],[Campo]]</f>
        <v>PROPERTY_ENERGY_CERTIFICATEENERGY_CERTIFICATION_SYSTEM_CODE</v>
      </c>
      <c r="I150" s="2" t="s">
        <v>616</v>
      </c>
      <c r="J150" s="43">
        <f>VLOOKUP(Table1[[#This Row],[Status]],Auxiliar!$B$16:$C$24,2,0)</f>
        <v>5</v>
      </c>
      <c r="K150" s="2" t="s">
        <v>1253</v>
      </c>
      <c r="L150" s="29" t="s">
        <v>1250</v>
      </c>
      <c r="M150" s="21" t="s">
        <v>1259</v>
      </c>
      <c r="N150" s="48">
        <v>45604</v>
      </c>
      <c r="O150" s="21">
        <f>INDEX(Auxiliar!$D$5:$F$13,MATCH(Table1[[#This Row],[Tipologia_Testes]],Auxiliar!$B$5:$B$13,0),MATCH(Table1[[#This Row],[Complexidade]],Auxiliar!$D$4:$F$4,0))</f>
        <v>2</v>
      </c>
      <c r="P150" s="2" t="s">
        <v>1276</v>
      </c>
      <c r="Q150" s="2"/>
      <c r="R150" s="152">
        <v>45261</v>
      </c>
      <c r="S150" s="152"/>
      <c r="T150" s="152">
        <v>45603</v>
      </c>
      <c r="U150" s="152">
        <v>45607</v>
      </c>
      <c r="V150" s="152">
        <v>45600</v>
      </c>
      <c r="W150" s="2">
        <f>VLOOKUP(Table1[[#This Row],[Status]],Auxiliar!$B$16:$D$24,3,0)*Table1[[#This Row],[Estimação (horas)]]</f>
        <v>0.5</v>
      </c>
      <c r="X150" s="2"/>
    </row>
    <row r="151" spans="2:24" ht="17.7" hidden="1" customHeight="1" x14ac:dyDescent="0.25">
      <c r="B151" s="2" t="s">
        <v>26</v>
      </c>
      <c r="C151" s="2" t="s">
        <v>54</v>
      </c>
      <c r="D151" s="2" t="s">
        <v>124</v>
      </c>
      <c r="E151" s="2" t="s">
        <v>38</v>
      </c>
      <c r="F151" s="2" t="s">
        <v>123</v>
      </c>
      <c r="G151" s="2" t="s">
        <v>127</v>
      </c>
      <c r="H151" s="57" t="str">
        <f>Table1[[#This Row],[Tabela]]&amp;Table1[[#This Row],[Campo]]</f>
        <v>PROPERTY_ENERGY_CERTIFICATEENERGY_CERTIFICATION_SYSTEM_CODE</v>
      </c>
      <c r="I151" s="2" t="s">
        <v>616</v>
      </c>
      <c r="J151" s="43">
        <f>VLOOKUP(Table1[[#This Row],[Status]],Auxiliar!$B$16:$C$24,2,0)</f>
        <v>5</v>
      </c>
      <c r="K151" s="2" t="s">
        <v>1255</v>
      </c>
      <c r="L151" s="29" t="s">
        <v>1250</v>
      </c>
      <c r="M151" s="21" t="s">
        <v>1259</v>
      </c>
      <c r="N151" s="48">
        <v>45604</v>
      </c>
      <c r="O151" s="21">
        <f>INDEX(Auxiliar!$D$5:$F$13,MATCH(Table1[[#This Row],[Tipologia_Testes]],Auxiliar!$B$5:$B$13,0),MATCH(Table1[[#This Row],[Complexidade]],Auxiliar!$D$4:$F$4,0))</f>
        <v>0.1</v>
      </c>
      <c r="P151" s="2" t="s">
        <v>1276</v>
      </c>
      <c r="Q151" s="2"/>
      <c r="R151" s="152">
        <v>45261</v>
      </c>
      <c r="S151" s="152"/>
      <c r="T151" s="152">
        <v>45603</v>
      </c>
      <c r="U151" s="152">
        <v>45607</v>
      </c>
      <c r="V151" s="152">
        <v>45600</v>
      </c>
      <c r="W151" s="2">
        <f>VLOOKUP(Table1[[#This Row],[Status]],Auxiliar!$B$16:$D$24,3,0)*Table1[[#This Row],[Estimação (horas)]]</f>
        <v>2.5000000000000001E-2</v>
      </c>
      <c r="X151" s="2"/>
    </row>
    <row r="152" spans="2:24" ht="17.7" hidden="1" customHeight="1" x14ac:dyDescent="0.25">
      <c r="B152" s="2" t="s">
        <v>26</v>
      </c>
      <c r="C152" s="2" t="s">
        <v>54</v>
      </c>
      <c r="D152" s="2" t="s">
        <v>124</v>
      </c>
      <c r="E152" s="2" t="s">
        <v>38</v>
      </c>
      <c r="F152" s="2" t="s">
        <v>123</v>
      </c>
      <c r="G152" s="2" t="s">
        <v>128</v>
      </c>
      <c r="H152" s="57" t="str">
        <f>Table1[[#This Row],[Tabela]]&amp;Table1[[#This Row],[Campo]]</f>
        <v>PROPERTY_ENERGY_CERTIFICATEEPC_ISSUING_DATE</v>
      </c>
      <c r="I152" s="2" t="s">
        <v>616</v>
      </c>
      <c r="J152" s="43">
        <f>VLOOKUP(Table1[[#This Row],[Status]],Auxiliar!$B$16:$C$24,2,0)</f>
        <v>5</v>
      </c>
      <c r="K152" s="2" t="s">
        <v>1252</v>
      </c>
      <c r="L152" s="29" t="s">
        <v>1250</v>
      </c>
      <c r="M152" s="21" t="s">
        <v>1259</v>
      </c>
      <c r="N152" s="48">
        <v>45604</v>
      </c>
      <c r="O152" s="21">
        <f>INDEX(Auxiliar!$D$5:$F$13,MATCH(Table1[[#This Row],[Tipologia_Testes]],Auxiliar!$B$5:$B$13,0),MATCH(Table1[[#This Row],[Complexidade]],Auxiliar!$D$4:$F$4,0))</f>
        <v>2</v>
      </c>
      <c r="P152" s="2" t="s">
        <v>1276</v>
      </c>
      <c r="Q152" s="2"/>
      <c r="R152" s="152">
        <v>45261</v>
      </c>
      <c r="S152" s="152"/>
      <c r="T152" s="152">
        <v>45603</v>
      </c>
      <c r="U152" s="152">
        <v>45607</v>
      </c>
      <c r="V152" s="152">
        <v>45600</v>
      </c>
      <c r="W152" s="2">
        <f>VLOOKUP(Table1[[#This Row],[Status]],Auxiliar!$B$16:$D$24,3,0)*Table1[[#This Row],[Estimação (horas)]]</f>
        <v>0.5</v>
      </c>
      <c r="X152" s="2"/>
    </row>
    <row r="153" spans="2:24" ht="17.7" hidden="1" customHeight="1" x14ac:dyDescent="0.25">
      <c r="B153" s="2" t="s">
        <v>26</v>
      </c>
      <c r="C153" s="2" t="s">
        <v>54</v>
      </c>
      <c r="D153" s="2" t="s">
        <v>124</v>
      </c>
      <c r="E153" s="2" t="s">
        <v>38</v>
      </c>
      <c r="F153" s="2" t="s">
        <v>123</v>
      </c>
      <c r="G153" s="2" t="s">
        <v>128</v>
      </c>
      <c r="H153" s="57" t="str">
        <f>Table1[[#This Row],[Tabela]]&amp;Table1[[#This Row],[Campo]]</f>
        <v>PROPERTY_ENERGY_CERTIFICATEEPC_ISSUING_DATE</v>
      </c>
      <c r="I153" s="2" t="s">
        <v>616</v>
      </c>
      <c r="J153" s="43">
        <f>VLOOKUP(Table1[[#This Row],[Status]],Auxiliar!$B$16:$C$24,2,0)</f>
        <v>5</v>
      </c>
      <c r="K153" s="2" t="s">
        <v>1253</v>
      </c>
      <c r="L153" s="29" t="s">
        <v>1250</v>
      </c>
      <c r="M153" s="21" t="s">
        <v>1259</v>
      </c>
      <c r="N153" s="48">
        <v>45604</v>
      </c>
      <c r="O153" s="21">
        <f>INDEX(Auxiliar!$D$5:$F$13,MATCH(Table1[[#This Row],[Tipologia_Testes]],Auxiliar!$B$5:$B$13,0),MATCH(Table1[[#This Row],[Complexidade]],Auxiliar!$D$4:$F$4,0))</f>
        <v>2</v>
      </c>
      <c r="P153" s="2" t="s">
        <v>1276</v>
      </c>
      <c r="Q153" s="2"/>
      <c r="R153" s="152">
        <v>45261</v>
      </c>
      <c r="S153" s="152"/>
      <c r="T153" s="152">
        <v>45603</v>
      </c>
      <c r="U153" s="152">
        <v>45607</v>
      </c>
      <c r="V153" s="152">
        <v>45600</v>
      </c>
      <c r="W153" s="2">
        <f>VLOOKUP(Table1[[#This Row],[Status]],Auxiliar!$B$16:$D$24,3,0)*Table1[[#This Row],[Estimação (horas)]]</f>
        <v>0.5</v>
      </c>
      <c r="X153" s="2"/>
    </row>
    <row r="154" spans="2:24" ht="17.7" hidden="1" customHeight="1" x14ac:dyDescent="0.25">
      <c r="B154" s="2" t="s">
        <v>26</v>
      </c>
      <c r="C154" s="2" t="s">
        <v>54</v>
      </c>
      <c r="D154" s="2" t="s">
        <v>124</v>
      </c>
      <c r="E154" s="2" t="s">
        <v>38</v>
      </c>
      <c r="F154" s="2" t="s">
        <v>123</v>
      </c>
      <c r="G154" s="2" t="s">
        <v>128</v>
      </c>
      <c r="H154" s="57" t="str">
        <f>Table1[[#This Row],[Tabela]]&amp;Table1[[#This Row],[Campo]]</f>
        <v>PROPERTY_ENERGY_CERTIFICATEEPC_ISSUING_DATE</v>
      </c>
      <c r="I154" s="2" t="s">
        <v>616</v>
      </c>
      <c r="J154" s="43">
        <f>VLOOKUP(Table1[[#This Row],[Status]],Auxiliar!$B$16:$C$24,2,0)</f>
        <v>5</v>
      </c>
      <c r="K154" s="2" t="s">
        <v>1255</v>
      </c>
      <c r="L154" s="29" t="s">
        <v>1250</v>
      </c>
      <c r="M154" s="21" t="s">
        <v>1259</v>
      </c>
      <c r="N154" s="48">
        <v>45604</v>
      </c>
      <c r="O154" s="21">
        <f>INDEX(Auxiliar!$D$5:$F$13,MATCH(Table1[[#This Row],[Tipologia_Testes]],Auxiliar!$B$5:$B$13,0),MATCH(Table1[[#This Row],[Complexidade]],Auxiliar!$D$4:$F$4,0))</f>
        <v>0.1</v>
      </c>
      <c r="P154" s="2" t="s">
        <v>1276</v>
      </c>
      <c r="Q154" s="2"/>
      <c r="R154" s="152">
        <v>45261</v>
      </c>
      <c r="S154" s="152"/>
      <c r="T154" s="152">
        <v>45603</v>
      </c>
      <c r="U154" s="152">
        <v>45607</v>
      </c>
      <c r="V154" s="152">
        <v>45600</v>
      </c>
      <c r="W154" s="2">
        <f>VLOOKUP(Table1[[#This Row],[Status]],Auxiliar!$B$16:$D$24,3,0)*Table1[[#This Row],[Estimação (horas)]]</f>
        <v>2.5000000000000001E-2</v>
      </c>
      <c r="X154" s="2"/>
    </row>
    <row r="155" spans="2:24" ht="17.7" hidden="1" customHeight="1" x14ac:dyDescent="0.25">
      <c r="B155" s="2" t="s">
        <v>26</v>
      </c>
      <c r="C155" s="2" t="s">
        <v>54</v>
      </c>
      <c r="D155" s="2" t="s">
        <v>124</v>
      </c>
      <c r="E155" s="2" t="s">
        <v>38</v>
      </c>
      <c r="F155" s="2" t="s">
        <v>123</v>
      </c>
      <c r="G155" s="2" t="s">
        <v>129</v>
      </c>
      <c r="H155" s="57" t="str">
        <f>Table1[[#This Row],[Tabela]]&amp;Table1[[#This Row],[Campo]]</f>
        <v>PROPERTY_ENERGY_CERTIFICATEEPC_EXPIRATION_DATE</v>
      </c>
      <c r="I155" s="2" t="s">
        <v>616</v>
      </c>
      <c r="J155" s="43">
        <f>VLOOKUP(Table1[[#This Row],[Status]],Auxiliar!$B$16:$C$24,2,0)</f>
        <v>5</v>
      </c>
      <c r="K155" s="2" t="s">
        <v>1252</v>
      </c>
      <c r="L155" s="29" t="s">
        <v>1250</v>
      </c>
      <c r="M155" s="21" t="s">
        <v>1259</v>
      </c>
      <c r="N155" s="48">
        <v>45604</v>
      </c>
      <c r="O155" s="21">
        <f>INDEX(Auxiliar!$D$5:$F$13,MATCH(Table1[[#This Row],[Tipologia_Testes]],Auxiliar!$B$5:$B$13,0),MATCH(Table1[[#This Row],[Complexidade]],Auxiliar!$D$4:$F$4,0))</f>
        <v>2</v>
      </c>
      <c r="P155" s="2" t="s">
        <v>1276</v>
      </c>
      <c r="Q155" s="2"/>
      <c r="R155" s="152">
        <v>45261</v>
      </c>
      <c r="S155" s="152"/>
      <c r="T155" s="152">
        <v>45603</v>
      </c>
      <c r="U155" s="152">
        <v>45607</v>
      </c>
      <c r="V155" s="152">
        <v>45600</v>
      </c>
      <c r="W155" s="2">
        <f>VLOOKUP(Table1[[#This Row],[Status]],Auxiliar!$B$16:$D$24,3,0)*Table1[[#This Row],[Estimação (horas)]]</f>
        <v>0.5</v>
      </c>
      <c r="X155" s="2"/>
    </row>
    <row r="156" spans="2:24" ht="17.7" hidden="1" customHeight="1" x14ac:dyDescent="0.25">
      <c r="B156" s="2" t="s">
        <v>26</v>
      </c>
      <c r="C156" s="2" t="s">
        <v>54</v>
      </c>
      <c r="D156" s="2" t="s">
        <v>124</v>
      </c>
      <c r="E156" s="2" t="s">
        <v>38</v>
      </c>
      <c r="F156" s="2" t="s">
        <v>123</v>
      </c>
      <c r="G156" s="2" t="s">
        <v>129</v>
      </c>
      <c r="H156" s="57" t="str">
        <f>Table1[[#This Row],[Tabela]]&amp;Table1[[#This Row],[Campo]]</f>
        <v>PROPERTY_ENERGY_CERTIFICATEEPC_EXPIRATION_DATE</v>
      </c>
      <c r="I156" s="2" t="s">
        <v>616</v>
      </c>
      <c r="J156" s="43">
        <f>VLOOKUP(Table1[[#This Row],[Status]],Auxiliar!$B$16:$C$24,2,0)</f>
        <v>5</v>
      </c>
      <c r="K156" s="2" t="s">
        <v>1253</v>
      </c>
      <c r="L156" s="29" t="s">
        <v>1250</v>
      </c>
      <c r="M156" s="21" t="s">
        <v>1259</v>
      </c>
      <c r="N156" s="48">
        <v>45604</v>
      </c>
      <c r="O156" s="21">
        <f>INDEX(Auxiliar!$D$5:$F$13,MATCH(Table1[[#This Row],[Tipologia_Testes]],Auxiliar!$B$5:$B$13,0),MATCH(Table1[[#This Row],[Complexidade]],Auxiliar!$D$4:$F$4,0))</f>
        <v>2</v>
      </c>
      <c r="P156" s="2" t="s">
        <v>1276</v>
      </c>
      <c r="Q156" s="2"/>
      <c r="R156" s="152">
        <v>45261</v>
      </c>
      <c r="S156" s="152"/>
      <c r="T156" s="152">
        <v>45603</v>
      </c>
      <c r="U156" s="152">
        <v>45607</v>
      </c>
      <c r="V156" s="152">
        <v>45600</v>
      </c>
      <c r="W156" s="2">
        <f>VLOOKUP(Table1[[#This Row],[Status]],Auxiliar!$B$16:$D$24,3,0)*Table1[[#This Row],[Estimação (horas)]]</f>
        <v>0.5</v>
      </c>
      <c r="X156" s="2"/>
    </row>
    <row r="157" spans="2:24" ht="17.7" hidden="1" customHeight="1" x14ac:dyDescent="0.25">
      <c r="B157" s="2" t="s">
        <v>26</v>
      </c>
      <c r="C157" s="2" t="s">
        <v>54</v>
      </c>
      <c r="D157" s="2" t="s">
        <v>124</v>
      </c>
      <c r="E157" s="2" t="s">
        <v>38</v>
      </c>
      <c r="F157" s="2" t="s">
        <v>123</v>
      </c>
      <c r="G157" s="2" t="s">
        <v>129</v>
      </c>
      <c r="H157" s="57" t="str">
        <f>Table1[[#This Row],[Tabela]]&amp;Table1[[#This Row],[Campo]]</f>
        <v>PROPERTY_ENERGY_CERTIFICATEEPC_EXPIRATION_DATE</v>
      </c>
      <c r="I157" s="2" t="s">
        <v>616</v>
      </c>
      <c r="J157" s="43">
        <f>VLOOKUP(Table1[[#This Row],[Status]],Auxiliar!$B$16:$C$24,2,0)</f>
        <v>5</v>
      </c>
      <c r="K157" s="2" t="s">
        <v>1255</v>
      </c>
      <c r="L157" s="29" t="s">
        <v>1250</v>
      </c>
      <c r="M157" s="21" t="s">
        <v>1259</v>
      </c>
      <c r="N157" s="48">
        <v>45604</v>
      </c>
      <c r="O157" s="21">
        <f>INDEX(Auxiliar!$D$5:$F$13,MATCH(Table1[[#This Row],[Tipologia_Testes]],Auxiliar!$B$5:$B$13,0),MATCH(Table1[[#This Row],[Complexidade]],Auxiliar!$D$4:$F$4,0))</f>
        <v>0.1</v>
      </c>
      <c r="P157" s="2" t="s">
        <v>1276</v>
      </c>
      <c r="Q157" s="2"/>
      <c r="R157" s="152">
        <v>45261</v>
      </c>
      <c r="S157" s="152"/>
      <c r="T157" s="152">
        <v>45603</v>
      </c>
      <c r="U157" s="152">
        <v>45607</v>
      </c>
      <c r="V157" s="152">
        <v>45600</v>
      </c>
      <c r="W157" s="2">
        <f>VLOOKUP(Table1[[#This Row],[Status]],Auxiliar!$B$16:$D$24,3,0)*Table1[[#This Row],[Estimação (horas)]]</f>
        <v>2.5000000000000001E-2</v>
      </c>
      <c r="X157" s="2"/>
    </row>
    <row r="158" spans="2:24" ht="17.7" hidden="1" customHeight="1" x14ac:dyDescent="0.25">
      <c r="B158" s="2" t="s">
        <v>26</v>
      </c>
      <c r="C158" s="2" t="s">
        <v>54</v>
      </c>
      <c r="D158" s="2" t="s">
        <v>124</v>
      </c>
      <c r="E158" s="2" t="s">
        <v>38</v>
      </c>
      <c r="F158" s="2" t="s">
        <v>123</v>
      </c>
      <c r="G158" s="2" t="s">
        <v>47</v>
      </c>
      <c r="H158" s="57" t="str">
        <f>Table1[[#This Row],[Tabela]]&amp;Table1[[#This Row],[Campo]]</f>
        <v>PROPERTY_ENERGY_CERTIFICATEEPC</v>
      </c>
      <c r="I158" s="2" t="s">
        <v>616</v>
      </c>
      <c r="J158" s="43">
        <f>VLOOKUP(Table1[[#This Row],[Status]],Auxiliar!$B$16:$C$24,2,0)</f>
        <v>5</v>
      </c>
      <c r="K158" s="2" t="s">
        <v>1252</v>
      </c>
      <c r="L158" s="29" t="s">
        <v>1250</v>
      </c>
      <c r="M158" s="21" t="s">
        <v>1259</v>
      </c>
      <c r="N158" s="48">
        <v>45604</v>
      </c>
      <c r="O158" s="21">
        <f>INDEX(Auxiliar!$D$5:$F$13,MATCH(Table1[[#This Row],[Tipologia_Testes]],Auxiliar!$B$5:$B$13,0),MATCH(Table1[[#This Row],[Complexidade]],Auxiliar!$D$4:$F$4,0))</f>
        <v>2</v>
      </c>
      <c r="P158" s="2" t="s">
        <v>1276</v>
      </c>
      <c r="Q158" s="2"/>
      <c r="R158" s="152">
        <v>45261</v>
      </c>
      <c r="S158" s="152"/>
      <c r="T158" s="152">
        <v>45603</v>
      </c>
      <c r="U158" s="152">
        <v>45607</v>
      </c>
      <c r="V158" s="152">
        <v>45600</v>
      </c>
      <c r="W158" s="2">
        <f>VLOOKUP(Table1[[#This Row],[Status]],Auxiliar!$B$16:$D$24,3,0)*Table1[[#This Row],[Estimação (horas)]]</f>
        <v>0.5</v>
      </c>
      <c r="X158" s="2"/>
    </row>
    <row r="159" spans="2:24" ht="17.7" hidden="1" customHeight="1" x14ac:dyDescent="0.25">
      <c r="B159" s="2" t="s">
        <v>26</v>
      </c>
      <c r="C159" s="2" t="s">
        <v>54</v>
      </c>
      <c r="D159" s="2" t="s">
        <v>124</v>
      </c>
      <c r="E159" s="2" t="s">
        <v>38</v>
      </c>
      <c r="F159" s="2" t="s">
        <v>123</v>
      </c>
      <c r="G159" s="2" t="s">
        <v>47</v>
      </c>
      <c r="H159" s="57" t="str">
        <f>Table1[[#This Row],[Tabela]]&amp;Table1[[#This Row],[Campo]]</f>
        <v>PROPERTY_ENERGY_CERTIFICATEEPC</v>
      </c>
      <c r="I159" s="2" t="s">
        <v>616</v>
      </c>
      <c r="J159" s="43">
        <f>VLOOKUP(Table1[[#This Row],[Status]],Auxiliar!$B$16:$C$24,2,0)</f>
        <v>5</v>
      </c>
      <c r="K159" s="2" t="s">
        <v>1253</v>
      </c>
      <c r="L159" s="29" t="s">
        <v>1250</v>
      </c>
      <c r="M159" s="21" t="s">
        <v>1259</v>
      </c>
      <c r="N159" s="48">
        <v>45604</v>
      </c>
      <c r="O159" s="21">
        <f>INDEX(Auxiliar!$D$5:$F$13,MATCH(Table1[[#This Row],[Tipologia_Testes]],Auxiliar!$B$5:$B$13,0),MATCH(Table1[[#This Row],[Complexidade]],Auxiliar!$D$4:$F$4,0))</f>
        <v>2</v>
      </c>
      <c r="P159" s="2" t="s">
        <v>1276</v>
      </c>
      <c r="Q159" s="2"/>
      <c r="R159" s="152">
        <v>45261</v>
      </c>
      <c r="S159" s="152"/>
      <c r="T159" s="152">
        <v>45603</v>
      </c>
      <c r="U159" s="152">
        <v>45607</v>
      </c>
      <c r="V159" s="152">
        <v>45600</v>
      </c>
      <c r="W159" s="2">
        <f>VLOOKUP(Table1[[#This Row],[Status]],Auxiliar!$B$16:$D$24,3,0)*Table1[[#This Row],[Estimação (horas)]]</f>
        <v>0.5</v>
      </c>
      <c r="X159" s="2"/>
    </row>
    <row r="160" spans="2:24" ht="17.7" hidden="1" customHeight="1" x14ac:dyDescent="0.25">
      <c r="B160" s="2" t="s">
        <v>26</v>
      </c>
      <c r="C160" s="2" t="s">
        <v>54</v>
      </c>
      <c r="D160" s="2" t="s">
        <v>124</v>
      </c>
      <c r="E160" s="2" t="s">
        <v>38</v>
      </c>
      <c r="F160" s="2" t="s">
        <v>123</v>
      </c>
      <c r="G160" s="2" t="s">
        <v>47</v>
      </c>
      <c r="H160" s="57" t="str">
        <f>Table1[[#This Row],[Tabela]]&amp;Table1[[#This Row],[Campo]]</f>
        <v>PROPERTY_ENERGY_CERTIFICATEEPC</v>
      </c>
      <c r="I160" s="2" t="s">
        <v>616</v>
      </c>
      <c r="J160" s="43">
        <f>VLOOKUP(Table1[[#This Row],[Status]],Auxiliar!$B$16:$C$24,2,0)</f>
        <v>5</v>
      </c>
      <c r="K160" s="2" t="s">
        <v>1255</v>
      </c>
      <c r="L160" s="29" t="s">
        <v>1250</v>
      </c>
      <c r="M160" s="21" t="s">
        <v>1259</v>
      </c>
      <c r="N160" s="48">
        <v>45604</v>
      </c>
      <c r="O160" s="21">
        <f>INDEX(Auxiliar!$D$5:$F$13,MATCH(Table1[[#This Row],[Tipologia_Testes]],Auxiliar!$B$5:$B$13,0),MATCH(Table1[[#This Row],[Complexidade]],Auxiliar!$D$4:$F$4,0))</f>
        <v>0.1</v>
      </c>
      <c r="P160" s="2" t="s">
        <v>1276</v>
      </c>
      <c r="Q160" s="2"/>
      <c r="R160" s="152">
        <v>45261</v>
      </c>
      <c r="S160" s="152"/>
      <c r="T160" s="152">
        <v>45603</v>
      </c>
      <c r="U160" s="152">
        <v>45607</v>
      </c>
      <c r="V160" s="152">
        <v>45600</v>
      </c>
      <c r="W160" s="2">
        <f>VLOOKUP(Table1[[#This Row],[Status]],Auxiliar!$B$16:$D$24,3,0)*Table1[[#This Row],[Estimação (horas)]]</f>
        <v>2.5000000000000001E-2</v>
      </c>
      <c r="X160" s="2"/>
    </row>
    <row r="161" spans="2:24" ht="17.7" hidden="1" customHeight="1" x14ac:dyDescent="0.25">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x14ac:dyDescent="0.25">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x14ac:dyDescent="0.25">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x14ac:dyDescent="0.25">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x14ac:dyDescent="0.25">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x14ac:dyDescent="0.25">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x14ac:dyDescent="0.25">
      <c r="B167" s="2" t="s">
        <v>26</v>
      </c>
      <c r="C167" s="2" t="s">
        <v>54</v>
      </c>
      <c r="D167" s="2" t="s">
        <v>124</v>
      </c>
      <c r="E167" s="2" t="s">
        <v>38</v>
      </c>
      <c r="F167" s="2" t="s">
        <v>123</v>
      </c>
      <c r="G167" s="2" t="s">
        <v>132</v>
      </c>
      <c r="H167" s="57" t="str">
        <f>Table1[[#This Row],[Tabela]]&amp;Table1[[#This Row],[Campo]]</f>
        <v>PROPERTY_ENERGY_CERTIFICATEENERGY_EFFICIENCY_IND</v>
      </c>
      <c r="I167" s="2" t="s">
        <v>616</v>
      </c>
      <c r="J167" s="43">
        <f>VLOOKUP(Table1[[#This Row],[Status]],Auxiliar!$B$16:$C$24,2,0)</f>
        <v>5</v>
      </c>
      <c r="K167" s="2" t="s">
        <v>1252</v>
      </c>
      <c r="L167" s="29" t="s">
        <v>1250</v>
      </c>
      <c r="M167" s="21" t="s">
        <v>1259</v>
      </c>
      <c r="N167" s="48">
        <v>45604</v>
      </c>
      <c r="O167" s="21">
        <f>INDEX(Auxiliar!$D$5:$F$13,MATCH(Table1[[#This Row],[Tipologia_Testes]],Auxiliar!$B$5:$B$13,0),MATCH(Table1[[#This Row],[Complexidade]],Auxiliar!$D$4:$F$4,0))</f>
        <v>2</v>
      </c>
      <c r="P167" s="2" t="s">
        <v>1276</v>
      </c>
      <c r="Q167" s="2"/>
      <c r="R167" s="152">
        <v>45261</v>
      </c>
      <c r="S167" s="152"/>
      <c r="T167" s="152">
        <v>45603</v>
      </c>
      <c r="U167" s="152">
        <v>45607</v>
      </c>
      <c r="V167" s="152">
        <v>45600</v>
      </c>
      <c r="W167" s="2">
        <f>VLOOKUP(Table1[[#This Row],[Status]],Auxiliar!$B$16:$D$24,3,0)*Table1[[#This Row],[Estimação (horas)]]</f>
        <v>0.5</v>
      </c>
      <c r="X167" s="2"/>
    </row>
    <row r="168" spans="2:24" ht="17.7" hidden="1" customHeight="1" x14ac:dyDescent="0.25">
      <c r="B168" s="2" t="s">
        <v>26</v>
      </c>
      <c r="C168" s="2" t="s">
        <v>54</v>
      </c>
      <c r="D168" s="2" t="s">
        <v>124</v>
      </c>
      <c r="E168" s="2" t="s">
        <v>38</v>
      </c>
      <c r="F168" s="2" t="s">
        <v>123</v>
      </c>
      <c r="G168" s="2" t="s">
        <v>132</v>
      </c>
      <c r="H168" s="57" t="str">
        <f>Table1[[#This Row],[Tabela]]&amp;Table1[[#This Row],[Campo]]</f>
        <v>PROPERTY_ENERGY_CERTIFICATEENERGY_EFFICIENCY_IND</v>
      </c>
      <c r="I168" s="2" t="s">
        <v>616</v>
      </c>
      <c r="J168" s="43">
        <f>VLOOKUP(Table1[[#This Row],[Status]],Auxiliar!$B$16:$C$24,2,0)</f>
        <v>5</v>
      </c>
      <c r="K168" s="2" t="s">
        <v>1253</v>
      </c>
      <c r="L168" s="29" t="s">
        <v>1250</v>
      </c>
      <c r="M168" s="21" t="s">
        <v>1259</v>
      </c>
      <c r="N168" s="48">
        <v>45604</v>
      </c>
      <c r="O168" s="21">
        <f>INDEX(Auxiliar!$D$5:$F$13,MATCH(Table1[[#This Row],[Tipologia_Testes]],Auxiliar!$B$5:$B$13,0),MATCH(Table1[[#This Row],[Complexidade]],Auxiliar!$D$4:$F$4,0))</f>
        <v>2</v>
      </c>
      <c r="P168" s="2" t="s">
        <v>1276</v>
      </c>
      <c r="Q168" s="2"/>
      <c r="R168" s="152">
        <v>45261</v>
      </c>
      <c r="S168" s="152"/>
      <c r="T168" s="152">
        <v>45603</v>
      </c>
      <c r="U168" s="152">
        <v>45607</v>
      </c>
      <c r="V168" s="152">
        <v>45600</v>
      </c>
      <c r="W168" s="2">
        <f>VLOOKUP(Table1[[#This Row],[Status]],Auxiliar!$B$16:$D$24,3,0)*Table1[[#This Row],[Estimação (horas)]]</f>
        <v>0.5</v>
      </c>
      <c r="X168" s="2"/>
    </row>
    <row r="169" spans="2:24" ht="17.7" hidden="1" customHeight="1" x14ac:dyDescent="0.25">
      <c r="B169" s="2" t="s">
        <v>26</v>
      </c>
      <c r="C169" s="2" t="s">
        <v>54</v>
      </c>
      <c r="D169" s="2" t="s">
        <v>124</v>
      </c>
      <c r="E169" s="2" t="s">
        <v>38</v>
      </c>
      <c r="F169" s="2" t="s">
        <v>123</v>
      </c>
      <c r="G169" s="2" t="s">
        <v>132</v>
      </c>
      <c r="H169" s="57" t="str">
        <f>Table1[[#This Row],[Tabela]]&amp;Table1[[#This Row],[Campo]]</f>
        <v>PROPERTY_ENERGY_CERTIFICATEENERGY_EFFICIENCY_IND</v>
      </c>
      <c r="I169" s="2" t="s">
        <v>616</v>
      </c>
      <c r="J169" s="43">
        <f>VLOOKUP(Table1[[#This Row],[Status]],Auxiliar!$B$16:$C$24,2,0)</f>
        <v>5</v>
      </c>
      <c r="K169" s="2" t="s">
        <v>1255</v>
      </c>
      <c r="L169" s="29" t="s">
        <v>1250</v>
      </c>
      <c r="M169" s="21" t="s">
        <v>1259</v>
      </c>
      <c r="N169" s="48">
        <v>45604</v>
      </c>
      <c r="O169" s="21">
        <f>INDEX(Auxiliar!$D$5:$F$13,MATCH(Table1[[#This Row],[Tipologia_Testes]],Auxiliar!$B$5:$B$13,0),MATCH(Table1[[#This Row],[Complexidade]],Auxiliar!$D$4:$F$4,0))</f>
        <v>0.1</v>
      </c>
      <c r="P169" s="2" t="s">
        <v>1276</v>
      </c>
      <c r="Q169" s="2"/>
      <c r="R169" s="152">
        <v>45261</v>
      </c>
      <c r="S169" s="152"/>
      <c r="T169" s="152">
        <v>45603</v>
      </c>
      <c r="U169" s="152">
        <v>45607</v>
      </c>
      <c r="V169" s="152">
        <v>45600</v>
      </c>
      <c r="W169" s="2">
        <f>VLOOKUP(Table1[[#This Row],[Status]],Auxiliar!$B$16:$D$24,3,0)*Table1[[#This Row],[Estimação (horas)]]</f>
        <v>2.5000000000000001E-2</v>
      </c>
      <c r="X169" s="2"/>
    </row>
    <row r="170" spans="2:24" ht="17.7" hidden="1" customHeight="1" x14ac:dyDescent="0.25">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x14ac:dyDescent="0.25">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x14ac:dyDescent="0.25">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x14ac:dyDescent="0.25">
      <c r="B173" s="2" t="s">
        <v>26</v>
      </c>
      <c r="C173" s="2" t="s">
        <v>54</v>
      </c>
      <c r="D173" s="2" t="s">
        <v>124</v>
      </c>
      <c r="E173" s="2" t="s">
        <v>38</v>
      </c>
      <c r="F173" s="2" t="s">
        <v>123</v>
      </c>
      <c r="G173" s="2" t="s">
        <v>134</v>
      </c>
      <c r="H173" s="57" t="str">
        <f>Table1[[#This Row],[Tabela]]&amp;Table1[[#This Row],[Campo]]</f>
        <v>PROPERTY_ENERGY_CERTIFICATENZEB_IND</v>
      </c>
      <c r="I173" s="2" t="s">
        <v>616</v>
      </c>
      <c r="J173" s="43">
        <f>VLOOKUP(Table1[[#This Row],[Status]],Auxiliar!$B$16:$C$24,2,0)</f>
        <v>5</v>
      </c>
      <c r="K173" s="2" t="s">
        <v>1252</v>
      </c>
      <c r="L173" s="29" t="s">
        <v>1250</v>
      </c>
      <c r="M173" s="21" t="s">
        <v>1259</v>
      </c>
      <c r="N173" s="48">
        <v>45604</v>
      </c>
      <c r="O173" s="21">
        <f>INDEX(Auxiliar!$D$5:$F$13,MATCH(Table1[[#This Row],[Tipologia_Testes]],Auxiliar!$B$5:$B$13,0),MATCH(Table1[[#This Row],[Complexidade]],Auxiliar!$D$4:$F$4,0))</f>
        <v>2</v>
      </c>
      <c r="P173" s="2" t="s">
        <v>1276</v>
      </c>
      <c r="Q173" s="2"/>
      <c r="R173" s="152">
        <v>45261</v>
      </c>
      <c r="S173" s="152"/>
      <c r="T173" s="152">
        <v>45603</v>
      </c>
      <c r="U173" s="152">
        <v>45607</v>
      </c>
      <c r="V173" s="152">
        <v>45600</v>
      </c>
      <c r="W173" s="2">
        <f>VLOOKUP(Table1[[#This Row],[Status]],Auxiliar!$B$16:$D$24,3,0)*Table1[[#This Row],[Estimação (horas)]]</f>
        <v>0.5</v>
      </c>
      <c r="X173" s="2"/>
    </row>
    <row r="174" spans="2:24" ht="17.7" hidden="1" customHeight="1" x14ac:dyDescent="0.25">
      <c r="B174" s="2" t="s">
        <v>26</v>
      </c>
      <c r="C174" s="2" t="s">
        <v>54</v>
      </c>
      <c r="D174" s="2" t="s">
        <v>124</v>
      </c>
      <c r="E174" s="2" t="s">
        <v>38</v>
      </c>
      <c r="F174" s="2" t="s">
        <v>123</v>
      </c>
      <c r="G174" s="2" t="s">
        <v>134</v>
      </c>
      <c r="H174" s="57" t="str">
        <f>Table1[[#This Row],[Tabela]]&amp;Table1[[#This Row],[Campo]]</f>
        <v>PROPERTY_ENERGY_CERTIFICATENZEB_IND</v>
      </c>
      <c r="I174" s="2" t="s">
        <v>616</v>
      </c>
      <c r="J174" s="43">
        <f>VLOOKUP(Table1[[#This Row],[Status]],Auxiliar!$B$16:$C$24,2,0)</f>
        <v>5</v>
      </c>
      <c r="K174" s="2" t="s">
        <v>1253</v>
      </c>
      <c r="L174" s="29" t="s">
        <v>1250</v>
      </c>
      <c r="M174" s="21" t="s">
        <v>1259</v>
      </c>
      <c r="N174" s="48">
        <v>45604</v>
      </c>
      <c r="O174" s="21">
        <f>INDEX(Auxiliar!$D$5:$F$13,MATCH(Table1[[#This Row],[Tipologia_Testes]],Auxiliar!$B$5:$B$13,0),MATCH(Table1[[#This Row],[Complexidade]],Auxiliar!$D$4:$F$4,0))</f>
        <v>2</v>
      </c>
      <c r="P174" s="2" t="s">
        <v>1276</v>
      </c>
      <c r="Q174" s="2"/>
      <c r="R174" s="152">
        <v>45261</v>
      </c>
      <c r="S174" s="152"/>
      <c r="T174" s="152">
        <v>45603</v>
      </c>
      <c r="U174" s="152">
        <v>45607</v>
      </c>
      <c r="V174" s="152">
        <v>45600</v>
      </c>
      <c r="W174" s="2">
        <f>VLOOKUP(Table1[[#This Row],[Status]],Auxiliar!$B$16:$D$24,3,0)*Table1[[#This Row],[Estimação (horas)]]</f>
        <v>0.5</v>
      </c>
      <c r="X174" s="2"/>
    </row>
    <row r="175" spans="2:24" ht="17.7" hidden="1" customHeight="1" x14ac:dyDescent="0.25">
      <c r="B175" s="2" t="s">
        <v>26</v>
      </c>
      <c r="C175" s="2" t="s">
        <v>54</v>
      </c>
      <c r="D175" s="2" t="s">
        <v>124</v>
      </c>
      <c r="E175" s="2" t="s">
        <v>38</v>
      </c>
      <c r="F175" s="2" t="s">
        <v>123</v>
      </c>
      <c r="G175" s="2" t="s">
        <v>134</v>
      </c>
      <c r="H175" s="57" t="str">
        <f>Table1[[#This Row],[Tabela]]&amp;Table1[[#This Row],[Campo]]</f>
        <v>PROPERTY_ENERGY_CERTIFICATENZEB_IND</v>
      </c>
      <c r="I175" s="2" t="s">
        <v>616</v>
      </c>
      <c r="J175" s="43">
        <f>VLOOKUP(Table1[[#This Row],[Status]],Auxiliar!$B$16:$C$24,2,0)</f>
        <v>5</v>
      </c>
      <c r="K175" s="2" t="s">
        <v>1255</v>
      </c>
      <c r="L175" s="29" t="s">
        <v>1250</v>
      </c>
      <c r="M175" s="21" t="s">
        <v>1259</v>
      </c>
      <c r="N175" s="48">
        <v>45604</v>
      </c>
      <c r="O175" s="21">
        <f>INDEX(Auxiliar!$D$5:$F$13,MATCH(Table1[[#This Row],[Tipologia_Testes]],Auxiliar!$B$5:$B$13,0),MATCH(Table1[[#This Row],[Complexidade]],Auxiliar!$D$4:$F$4,0))</f>
        <v>0.1</v>
      </c>
      <c r="P175" s="2" t="s">
        <v>1276</v>
      </c>
      <c r="Q175" s="2"/>
      <c r="R175" s="152">
        <v>45261</v>
      </c>
      <c r="S175" s="152"/>
      <c r="T175" s="152">
        <v>45603</v>
      </c>
      <c r="U175" s="152">
        <v>45607</v>
      </c>
      <c r="V175" s="152">
        <v>45600</v>
      </c>
      <c r="W175" s="2">
        <f>VLOOKUP(Table1[[#This Row],[Status]],Auxiliar!$B$16:$D$24,3,0)*Table1[[#This Row],[Estimação (horas)]]</f>
        <v>2.5000000000000001E-2</v>
      </c>
      <c r="X175" s="2"/>
    </row>
    <row r="176" spans="2:24" ht="17.7" hidden="1" customHeight="1" x14ac:dyDescent="0.25">
      <c r="B176" s="2" t="s">
        <v>26</v>
      </c>
      <c r="C176" s="2" t="s">
        <v>54</v>
      </c>
      <c r="D176" s="2" t="s">
        <v>124</v>
      </c>
      <c r="E176" s="2" t="s">
        <v>38</v>
      </c>
      <c r="F176" s="2" t="s">
        <v>123</v>
      </c>
      <c r="G176" s="2" t="s">
        <v>49</v>
      </c>
      <c r="H176" s="57" t="str">
        <f>Table1[[#This Row],[Tabela]]&amp;Table1[[#This Row],[Campo]]</f>
        <v>PROPERTY_ENERGY_CERTIFICATEACTUAL_VALUE_IND</v>
      </c>
      <c r="I176" s="2" t="s">
        <v>616</v>
      </c>
      <c r="J176" s="43">
        <f>VLOOKUP(Table1[[#This Row],[Status]],Auxiliar!$B$16:$C$24,2,0)</f>
        <v>5</v>
      </c>
      <c r="K176" s="2" t="s">
        <v>1252</v>
      </c>
      <c r="L176" s="29" t="s">
        <v>1250</v>
      </c>
      <c r="M176" s="21" t="s">
        <v>1259</v>
      </c>
      <c r="N176" s="48">
        <v>45604</v>
      </c>
      <c r="O176" s="21">
        <f>INDEX(Auxiliar!$D$5:$F$13,MATCH(Table1[[#This Row],[Tipologia_Testes]],Auxiliar!$B$5:$B$13,0),MATCH(Table1[[#This Row],[Complexidade]],Auxiliar!$D$4:$F$4,0))</f>
        <v>2</v>
      </c>
      <c r="P176" s="2" t="s">
        <v>1276</v>
      </c>
      <c r="Q176" s="2"/>
      <c r="R176" s="152">
        <v>45562</v>
      </c>
      <c r="S176" s="152"/>
      <c r="T176" s="152">
        <v>45603</v>
      </c>
      <c r="U176" s="152">
        <v>45607</v>
      </c>
      <c r="V176" s="152">
        <v>45600</v>
      </c>
      <c r="W176" s="2">
        <f>VLOOKUP(Table1[[#This Row],[Status]],Auxiliar!$B$16:$D$24,3,0)*Table1[[#This Row],[Estimação (horas)]]</f>
        <v>0.5</v>
      </c>
      <c r="X176" s="2"/>
    </row>
    <row r="177" spans="2:24" ht="17.7" hidden="1" customHeight="1" x14ac:dyDescent="0.25">
      <c r="B177" s="2" t="s">
        <v>26</v>
      </c>
      <c r="C177" s="2" t="s">
        <v>54</v>
      </c>
      <c r="D177" s="2" t="s">
        <v>124</v>
      </c>
      <c r="E177" s="2" t="s">
        <v>38</v>
      </c>
      <c r="F177" s="2" t="s">
        <v>123</v>
      </c>
      <c r="G177" s="2" t="s">
        <v>49</v>
      </c>
      <c r="H177" s="57" t="str">
        <f>Table1[[#This Row],[Tabela]]&amp;Table1[[#This Row],[Campo]]</f>
        <v>PROPERTY_ENERGY_CERTIFICATEACTUAL_VALUE_IND</v>
      </c>
      <c r="I177" s="2" t="s">
        <v>616</v>
      </c>
      <c r="J177" s="43">
        <f>VLOOKUP(Table1[[#This Row],[Status]],Auxiliar!$B$16:$C$24,2,0)</f>
        <v>5</v>
      </c>
      <c r="K177" s="2" t="s">
        <v>1253</v>
      </c>
      <c r="L177" s="29" t="s">
        <v>1250</v>
      </c>
      <c r="M177" s="21" t="s">
        <v>1259</v>
      </c>
      <c r="N177" s="48">
        <v>45604</v>
      </c>
      <c r="O177" s="21">
        <f>INDEX(Auxiliar!$D$5:$F$13,MATCH(Table1[[#This Row],[Tipologia_Testes]],Auxiliar!$B$5:$B$13,0),MATCH(Table1[[#This Row],[Complexidade]],Auxiliar!$D$4:$F$4,0))</f>
        <v>2</v>
      </c>
      <c r="P177" s="2" t="s">
        <v>1276</v>
      </c>
      <c r="Q177" s="2"/>
      <c r="R177" s="152">
        <v>45562</v>
      </c>
      <c r="S177" s="152"/>
      <c r="T177" s="152">
        <v>45603</v>
      </c>
      <c r="U177" s="152">
        <v>45607</v>
      </c>
      <c r="V177" s="152">
        <v>45600</v>
      </c>
      <c r="W177" s="2">
        <f>VLOOKUP(Table1[[#This Row],[Status]],Auxiliar!$B$16:$D$24,3,0)*Table1[[#This Row],[Estimação (horas)]]</f>
        <v>0.5</v>
      </c>
      <c r="X177" s="2"/>
    </row>
    <row r="178" spans="2:24" ht="17.7" hidden="1" customHeight="1" x14ac:dyDescent="0.25">
      <c r="B178" s="2" t="s">
        <v>26</v>
      </c>
      <c r="C178" s="2" t="s">
        <v>54</v>
      </c>
      <c r="D178" s="2" t="s">
        <v>124</v>
      </c>
      <c r="E178" s="2" t="s">
        <v>38</v>
      </c>
      <c r="F178" s="2" t="s">
        <v>123</v>
      </c>
      <c r="G178" s="2" t="s">
        <v>49</v>
      </c>
      <c r="H178" s="57" t="str">
        <f>Table1[[#This Row],[Tabela]]&amp;Table1[[#This Row],[Campo]]</f>
        <v>PROPERTY_ENERGY_CERTIFICATEACTUAL_VALUE_IND</v>
      </c>
      <c r="I178" s="2" t="s">
        <v>616</v>
      </c>
      <c r="J178" s="43">
        <f>VLOOKUP(Table1[[#This Row],[Status]],Auxiliar!$B$16:$C$24,2,0)</f>
        <v>5</v>
      </c>
      <c r="K178" s="2" t="s">
        <v>1255</v>
      </c>
      <c r="L178" s="29" t="s">
        <v>1250</v>
      </c>
      <c r="M178" s="21" t="s">
        <v>1259</v>
      </c>
      <c r="N178" s="48">
        <v>45604</v>
      </c>
      <c r="O178" s="21">
        <f>INDEX(Auxiliar!$D$5:$F$13,MATCH(Table1[[#This Row],[Tipologia_Testes]],Auxiliar!$B$5:$B$13,0),MATCH(Table1[[#This Row],[Complexidade]],Auxiliar!$D$4:$F$4,0))</f>
        <v>0.1</v>
      </c>
      <c r="P178" s="2" t="s">
        <v>1276</v>
      </c>
      <c r="Q178" s="2"/>
      <c r="R178" s="152">
        <v>45562</v>
      </c>
      <c r="S178" s="152"/>
      <c r="T178" s="152">
        <v>45603</v>
      </c>
      <c r="U178" s="152">
        <v>45607</v>
      </c>
      <c r="V178" s="152">
        <v>45600</v>
      </c>
      <c r="W178" s="2">
        <f>VLOOKUP(Table1[[#This Row],[Status]],Auxiliar!$B$16:$D$24,3,0)*Table1[[#This Row],[Estimação (horas)]]</f>
        <v>2.5000000000000001E-2</v>
      </c>
      <c r="X178" s="2"/>
    </row>
    <row r="179" spans="2:24" ht="17.7" hidden="1" customHeight="1" x14ac:dyDescent="0.25">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x14ac:dyDescent="0.25">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x14ac:dyDescent="0.25">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x14ac:dyDescent="0.25">
      <c r="B182" s="2" t="s">
        <v>26</v>
      </c>
      <c r="C182" s="2" t="s">
        <v>54</v>
      </c>
      <c r="D182" s="2" t="s">
        <v>124</v>
      </c>
      <c r="E182" s="2" t="s">
        <v>38</v>
      </c>
      <c r="F182" s="2" t="s">
        <v>123</v>
      </c>
      <c r="G182" s="2" t="s">
        <v>87</v>
      </c>
      <c r="H182" s="57" t="str">
        <f>Table1[[#This Row],[Tabela]]&amp;Table1[[#This Row],[Campo]]</f>
        <v>PROPERTY_ENERGY_CERTIFICATESOURCE_CODE</v>
      </c>
      <c r="I182" s="2" t="s">
        <v>616</v>
      </c>
      <c r="J182" s="43">
        <f>VLOOKUP(Table1[[#This Row],[Status]],Auxiliar!$B$16:$C$24,2,0)</f>
        <v>5</v>
      </c>
      <c r="K182" s="2" t="s">
        <v>1252</v>
      </c>
      <c r="L182" s="29" t="s">
        <v>1250</v>
      </c>
      <c r="M182" s="21" t="s">
        <v>1259</v>
      </c>
      <c r="N182" s="48">
        <v>45604</v>
      </c>
      <c r="O182" s="21">
        <f>INDEX(Auxiliar!$D$5:$F$13,MATCH(Table1[[#This Row],[Tipologia_Testes]],Auxiliar!$B$5:$B$13,0),MATCH(Table1[[#This Row],[Complexidade]],Auxiliar!$D$4:$F$4,0))</f>
        <v>2</v>
      </c>
      <c r="P182" s="2" t="s">
        <v>1276</v>
      </c>
      <c r="Q182" s="2"/>
      <c r="R182" s="152">
        <v>45562</v>
      </c>
      <c r="S182" s="152"/>
      <c r="T182" s="152">
        <v>45603</v>
      </c>
      <c r="U182" s="152">
        <v>45607</v>
      </c>
      <c r="V182" s="152">
        <v>45600</v>
      </c>
      <c r="W182" s="2">
        <f>VLOOKUP(Table1[[#This Row],[Status]],Auxiliar!$B$16:$D$24,3,0)*Table1[[#This Row],[Estimação (horas)]]</f>
        <v>0.5</v>
      </c>
      <c r="X182" s="2"/>
    </row>
    <row r="183" spans="2:24" ht="17.7" hidden="1" customHeight="1" x14ac:dyDescent="0.25">
      <c r="B183" s="2" t="s">
        <v>26</v>
      </c>
      <c r="C183" s="2" t="s">
        <v>54</v>
      </c>
      <c r="D183" s="2" t="s">
        <v>124</v>
      </c>
      <c r="E183" s="2" t="s">
        <v>38</v>
      </c>
      <c r="F183" s="2" t="s">
        <v>123</v>
      </c>
      <c r="G183" s="2" t="s">
        <v>87</v>
      </c>
      <c r="H183" s="57" t="str">
        <f>Table1[[#This Row],[Tabela]]&amp;Table1[[#This Row],[Campo]]</f>
        <v>PROPERTY_ENERGY_CERTIFICATESOURCE_CODE</v>
      </c>
      <c r="I183" s="2" t="s">
        <v>616</v>
      </c>
      <c r="J183" s="43">
        <f>VLOOKUP(Table1[[#This Row],[Status]],Auxiliar!$B$16:$C$24,2,0)</f>
        <v>5</v>
      </c>
      <c r="K183" s="2" t="s">
        <v>1253</v>
      </c>
      <c r="L183" s="29" t="s">
        <v>1250</v>
      </c>
      <c r="M183" s="21" t="s">
        <v>1259</v>
      </c>
      <c r="N183" s="48">
        <v>45604</v>
      </c>
      <c r="O183" s="21">
        <f>INDEX(Auxiliar!$D$5:$F$13,MATCH(Table1[[#This Row],[Tipologia_Testes]],Auxiliar!$B$5:$B$13,0),MATCH(Table1[[#This Row],[Complexidade]],Auxiliar!$D$4:$F$4,0))</f>
        <v>2</v>
      </c>
      <c r="P183" s="2" t="s">
        <v>1276</v>
      </c>
      <c r="Q183" s="2"/>
      <c r="R183" s="152">
        <v>45562</v>
      </c>
      <c r="S183" s="152"/>
      <c r="T183" s="152">
        <v>45603</v>
      </c>
      <c r="U183" s="152">
        <v>45607</v>
      </c>
      <c r="V183" s="152">
        <v>45600</v>
      </c>
      <c r="W183" s="2">
        <f>VLOOKUP(Table1[[#This Row],[Status]],Auxiliar!$B$16:$D$24,3,0)*Table1[[#This Row],[Estimação (horas)]]</f>
        <v>0.5</v>
      </c>
      <c r="X183" s="2"/>
    </row>
    <row r="184" spans="2:24" ht="17.7" hidden="1" customHeight="1" x14ac:dyDescent="0.25">
      <c r="B184" s="2" t="s">
        <v>26</v>
      </c>
      <c r="C184" s="2" t="s">
        <v>54</v>
      </c>
      <c r="D184" s="2" t="s">
        <v>124</v>
      </c>
      <c r="E184" s="2" t="s">
        <v>38</v>
      </c>
      <c r="F184" s="2" t="s">
        <v>123</v>
      </c>
      <c r="G184" s="2" t="s">
        <v>87</v>
      </c>
      <c r="H184" s="57" t="str">
        <f>Table1[[#This Row],[Tabela]]&amp;Table1[[#This Row],[Campo]]</f>
        <v>PROPERTY_ENERGY_CERTIFICATESOURCE_CODE</v>
      </c>
      <c r="I184" s="2" t="s">
        <v>616</v>
      </c>
      <c r="J184" s="43">
        <f>VLOOKUP(Table1[[#This Row],[Status]],Auxiliar!$B$16:$C$24,2,0)</f>
        <v>5</v>
      </c>
      <c r="K184" s="2" t="s">
        <v>1255</v>
      </c>
      <c r="L184" s="29" t="s">
        <v>1250</v>
      </c>
      <c r="M184" s="21" t="s">
        <v>1259</v>
      </c>
      <c r="N184" s="48">
        <v>45604</v>
      </c>
      <c r="O184" s="21">
        <f>INDEX(Auxiliar!$D$5:$F$13,MATCH(Table1[[#This Row],[Tipologia_Testes]],Auxiliar!$B$5:$B$13,0),MATCH(Table1[[#This Row],[Complexidade]],Auxiliar!$D$4:$F$4,0))</f>
        <v>0.1</v>
      </c>
      <c r="P184" s="2" t="s">
        <v>1276</v>
      </c>
      <c r="Q184" s="2"/>
      <c r="R184" s="152">
        <v>45562</v>
      </c>
      <c r="S184" s="152"/>
      <c r="T184" s="152">
        <v>45603</v>
      </c>
      <c r="U184" s="152">
        <v>45607</v>
      </c>
      <c r="V184" s="152">
        <v>45600</v>
      </c>
      <c r="W184" s="2">
        <f>VLOOKUP(Table1[[#This Row],[Status]],Auxiliar!$B$16:$D$24,3,0)*Table1[[#This Row],[Estimação (horas)]]</f>
        <v>2.5000000000000001E-2</v>
      </c>
      <c r="X184" s="2"/>
    </row>
    <row r="185" spans="2:24" ht="17.7" hidden="1" customHeight="1" x14ac:dyDescent="0.25">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x14ac:dyDescent="0.25">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x14ac:dyDescent="0.25">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x14ac:dyDescent="0.25">
      <c r="B188" s="2" t="s">
        <v>26</v>
      </c>
      <c r="C188" s="2" t="s">
        <v>54</v>
      </c>
      <c r="D188" s="2" t="s">
        <v>124</v>
      </c>
      <c r="E188" s="2" t="s">
        <v>38</v>
      </c>
      <c r="F188" s="2" t="s">
        <v>123</v>
      </c>
      <c r="G188" s="2" t="s">
        <v>136</v>
      </c>
      <c r="H188" s="57" t="str">
        <f>Table1[[#This Row],[Tabela]]&amp;Table1[[#This Row],[Campo]]</f>
        <v>PROPERTY_ENERGY_CERTIFICATECERTIFICATE_TYPE</v>
      </c>
      <c r="I188" s="2" t="s">
        <v>616</v>
      </c>
      <c r="J188" s="43">
        <f>VLOOKUP(Table1[[#This Row],[Status]],Auxiliar!$B$16:$C$24,2,0)</f>
        <v>5</v>
      </c>
      <c r="K188" s="2" t="s">
        <v>1252</v>
      </c>
      <c r="L188" s="29" t="s">
        <v>1250</v>
      </c>
      <c r="M188" s="21" t="s">
        <v>1259</v>
      </c>
      <c r="N188" s="48">
        <v>45604</v>
      </c>
      <c r="O188" s="21">
        <f>INDEX(Auxiliar!$D$5:$F$13,MATCH(Table1[[#This Row],[Tipologia_Testes]],Auxiliar!$B$5:$B$13,0),MATCH(Table1[[#This Row],[Complexidade]],Auxiliar!$D$4:$F$4,0))</f>
        <v>2</v>
      </c>
      <c r="P188" s="2" t="s">
        <v>1276</v>
      </c>
      <c r="Q188" s="2"/>
      <c r="R188" s="152">
        <v>45261</v>
      </c>
      <c r="S188" s="152"/>
      <c r="T188" s="152">
        <v>45603</v>
      </c>
      <c r="U188" s="152">
        <v>45607</v>
      </c>
      <c r="V188" s="152">
        <v>45600</v>
      </c>
      <c r="W188" s="2">
        <f>VLOOKUP(Table1[[#This Row],[Status]],Auxiliar!$B$16:$D$24,3,0)*Table1[[#This Row],[Estimação (horas)]]</f>
        <v>0.5</v>
      </c>
      <c r="X188" s="2"/>
    </row>
    <row r="189" spans="2:24" ht="17.7" hidden="1" customHeight="1" x14ac:dyDescent="0.25">
      <c r="B189" s="2" t="s">
        <v>26</v>
      </c>
      <c r="C189" s="2" t="s">
        <v>54</v>
      </c>
      <c r="D189" s="2" t="s">
        <v>124</v>
      </c>
      <c r="E189" s="2" t="s">
        <v>38</v>
      </c>
      <c r="F189" s="2" t="s">
        <v>123</v>
      </c>
      <c r="G189" s="2" t="s">
        <v>136</v>
      </c>
      <c r="H189" s="57" t="str">
        <f>Table1[[#This Row],[Tabela]]&amp;Table1[[#This Row],[Campo]]</f>
        <v>PROPERTY_ENERGY_CERTIFICATECERTIFICATE_TYPE</v>
      </c>
      <c r="I189" s="2" t="s">
        <v>616</v>
      </c>
      <c r="J189" s="43">
        <f>VLOOKUP(Table1[[#This Row],[Status]],Auxiliar!$B$16:$C$24,2,0)</f>
        <v>5</v>
      </c>
      <c r="K189" s="2" t="s">
        <v>1253</v>
      </c>
      <c r="L189" s="29" t="s">
        <v>1250</v>
      </c>
      <c r="M189" s="21" t="s">
        <v>1259</v>
      </c>
      <c r="N189" s="48">
        <v>45604</v>
      </c>
      <c r="O189" s="21">
        <f>INDEX(Auxiliar!$D$5:$F$13,MATCH(Table1[[#This Row],[Tipologia_Testes]],Auxiliar!$B$5:$B$13,0),MATCH(Table1[[#This Row],[Complexidade]],Auxiliar!$D$4:$F$4,0))</f>
        <v>2</v>
      </c>
      <c r="P189" s="2" t="s">
        <v>1276</v>
      </c>
      <c r="Q189" s="2"/>
      <c r="R189" s="152">
        <v>45261</v>
      </c>
      <c r="S189" s="152"/>
      <c r="T189" s="152">
        <v>45603</v>
      </c>
      <c r="U189" s="152">
        <v>45607</v>
      </c>
      <c r="V189" s="152">
        <v>45600</v>
      </c>
      <c r="W189" s="2">
        <f>VLOOKUP(Table1[[#This Row],[Status]],Auxiliar!$B$16:$D$24,3,0)*Table1[[#This Row],[Estimação (horas)]]</f>
        <v>0.5</v>
      </c>
      <c r="X189" s="2"/>
    </row>
    <row r="190" spans="2:24" ht="17.7" hidden="1" customHeight="1" x14ac:dyDescent="0.25">
      <c r="B190" s="2" t="s">
        <v>26</v>
      </c>
      <c r="C190" s="2" t="s">
        <v>54</v>
      </c>
      <c r="D190" s="2" t="s">
        <v>124</v>
      </c>
      <c r="E190" s="2" t="s">
        <v>38</v>
      </c>
      <c r="F190" s="2" t="s">
        <v>123</v>
      </c>
      <c r="G190" s="2" t="s">
        <v>136</v>
      </c>
      <c r="H190" s="57" t="str">
        <f>Table1[[#This Row],[Tabela]]&amp;Table1[[#This Row],[Campo]]</f>
        <v>PROPERTY_ENERGY_CERTIFICATECERTIFICATE_TYPE</v>
      </c>
      <c r="I190" s="2" t="s">
        <v>616</v>
      </c>
      <c r="J190" s="43">
        <f>VLOOKUP(Table1[[#This Row],[Status]],Auxiliar!$B$16:$C$24,2,0)</f>
        <v>5</v>
      </c>
      <c r="K190" s="2" t="s">
        <v>1255</v>
      </c>
      <c r="L190" s="29" t="s">
        <v>1250</v>
      </c>
      <c r="M190" s="21" t="s">
        <v>1259</v>
      </c>
      <c r="N190" s="48">
        <v>45604</v>
      </c>
      <c r="O190" s="21">
        <f>INDEX(Auxiliar!$D$5:$F$13,MATCH(Table1[[#This Row],[Tipologia_Testes]],Auxiliar!$B$5:$B$13,0),MATCH(Table1[[#This Row],[Complexidade]],Auxiliar!$D$4:$F$4,0))</f>
        <v>0.1</v>
      </c>
      <c r="P190" s="2" t="s">
        <v>1276</v>
      </c>
      <c r="Q190" s="2"/>
      <c r="R190" s="152">
        <v>45261</v>
      </c>
      <c r="S190" s="152"/>
      <c r="T190" s="152">
        <v>45603</v>
      </c>
      <c r="U190" s="152">
        <v>45607</v>
      </c>
      <c r="V190" s="152">
        <v>45600</v>
      </c>
      <c r="W190" s="2">
        <f>VLOOKUP(Table1[[#This Row],[Status]],Auxiliar!$B$16:$D$24,3,0)*Table1[[#This Row],[Estimação (horas)]]</f>
        <v>2.5000000000000001E-2</v>
      </c>
      <c r="X190" s="2"/>
    </row>
    <row r="191" spans="2:24" ht="17.7" hidden="1" customHeight="1" x14ac:dyDescent="0.25">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x14ac:dyDescent="0.25">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x14ac:dyDescent="0.25">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x14ac:dyDescent="0.25">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x14ac:dyDescent="0.25">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x14ac:dyDescent="0.25">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x14ac:dyDescent="0.25">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x14ac:dyDescent="0.25">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x14ac:dyDescent="0.25">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x14ac:dyDescent="0.25">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x14ac:dyDescent="0.25">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x14ac:dyDescent="0.25">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x14ac:dyDescent="0.25">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x14ac:dyDescent="0.25">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x14ac:dyDescent="0.25">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x14ac:dyDescent="0.25">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x14ac:dyDescent="0.25">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x14ac:dyDescent="0.25">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x14ac:dyDescent="0.25">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x14ac:dyDescent="0.25">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x14ac:dyDescent="0.25">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x14ac:dyDescent="0.25">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x14ac:dyDescent="0.25">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x14ac:dyDescent="0.25">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x14ac:dyDescent="0.25">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x14ac:dyDescent="0.25">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x14ac:dyDescent="0.25">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x14ac:dyDescent="0.25">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x14ac:dyDescent="0.25">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x14ac:dyDescent="0.25">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x14ac:dyDescent="0.25">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x14ac:dyDescent="0.25">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x14ac:dyDescent="0.25">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x14ac:dyDescent="0.25">
      <c r="B224" s="2" t="s">
        <v>26</v>
      </c>
      <c r="C224" s="2" t="s">
        <v>54</v>
      </c>
      <c r="D224" s="2" t="s">
        <v>124</v>
      </c>
      <c r="E224" s="2" t="s">
        <v>38</v>
      </c>
      <c r="F224" s="2" t="s">
        <v>123</v>
      </c>
      <c r="G224" s="2" t="s">
        <v>51</v>
      </c>
      <c r="H224" s="57" t="str">
        <f>Table1[[#This Row],[Tabela]]&amp;Table1[[#This Row],[Campo]]</f>
        <v>PROPERTY_ENERGY_CERTIFICATEENERGY_CONSUMPTION_VALUE_YEAR</v>
      </c>
      <c r="I224" s="2" t="s">
        <v>616</v>
      </c>
      <c r="J224" s="43">
        <f>VLOOKUP(Table1[[#This Row],[Status]],Auxiliar!$B$16:$C$24,2,0)</f>
        <v>5</v>
      </c>
      <c r="K224" s="2" t="s">
        <v>1252</v>
      </c>
      <c r="L224" s="29" t="s">
        <v>1250</v>
      </c>
      <c r="M224" s="21" t="s">
        <v>1259</v>
      </c>
      <c r="N224" s="48">
        <v>45604</v>
      </c>
      <c r="O224" s="21">
        <f>INDEX(Auxiliar!$D$5:$F$13,MATCH(Table1[[#This Row],[Tipologia_Testes]],Auxiliar!$B$5:$B$13,0),MATCH(Table1[[#This Row],[Complexidade]],Auxiliar!$D$4:$F$4,0))</f>
        <v>2</v>
      </c>
      <c r="P224" s="2" t="s">
        <v>1276</v>
      </c>
      <c r="Q224" s="2"/>
      <c r="R224" s="152">
        <v>45562</v>
      </c>
      <c r="S224" s="152"/>
      <c r="T224" s="152">
        <v>45603</v>
      </c>
      <c r="U224" s="152">
        <v>45607</v>
      </c>
      <c r="V224" s="152">
        <v>45600</v>
      </c>
      <c r="W224" s="2">
        <f>VLOOKUP(Table1[[#This Row],[Status]],Auxiliar!$B$16:$D$24,3,0)*Table1[[#This Row],[Estimação (horas)]]</f>
        <v>0.5</v>
      </c>
      <c r="X224" s="2"/>
    </row>
    <row r="225" spans="2:24" ht="17.7" hidden="1" customHeight="1" x14ac:dyDescent="0.25">
      <c r="B225" s="2" t="s">
        <v>26</v>
      </c>
      <c r="C225" s="2" t="s">
        <v>54</v>
      </c>
      <c r="D225" s="2" t="s">
        <v>124</v>
      </c>
      <c r="E225" s="2" t="s">
        <v>38</v>
      </c>
      <c r="F225" s="2" t="s">
        <v>123</v>
      </c>
      <c r="G225" s="2" t="s">
        <v>51</v>
      </c>
      <c r="H225" s="57" t="str">
        <f>Table1[[#This Row],[Tabela]]&amp;Table1[[#This Row],[Campo]]</f>
        <v>PROPERTY_ENERGY_CERTIFICATEENERGY_CONSUMPTION_VALUE_YEAR</v>
      </c>
      <c r="I225" s="2" t="s">
        <v>616</v>
      </c>
      <c r="J225" s="43">
        <f>VLOOKUP(Table1[[#This Row],[Status]],Auxiliar!$B$16:$C$24,2,0)</f>
        <v>5</v>
      </c>
      <c r="K225" s="2" t="s">
        <v>1253</v>
      </c>
      <c r="L225" s="29" t="s">
        <v>1250</v>
      </c>
      <c r="M225" s="21" t="s">
        <v>1259</v>
      </c>
      <c r="N225" s="48">
        <v>45604</v>
      </c>
      <c r="O225" s="21">
        <f>INDEX(Auxiliar!$D$5:$F$13,MATCH(Table1[[#This Row],[Tipologia_Testes]],Auxiliar!$B$5:$B$13,0),MATCH(Table1[[#This Row],[Complexidade]],Auxiliar!$D$4:$F$4,0))</f>
        <v>2</v>
      </c>
      <c r="P225" s="2" t="s">
        <v>1276</v>
      </c>
      <c r="Q225" s="2"/>
      <c r="R225" s="152">
        <v>45562</v>
      </c>
      <c r="S225" s="152"/>
      <c r="T225" s="152">
        <v>45603</v>
      </c>
      <c r="U225" s="152">
        <v>45607</v>
      </c>
      <c r="V225" s="152">
        <v>45600</v>
      </c>
      <c r="W225" s="2">
        <f>VLOOKUP(Table1[[#This Row],[Status]],Auxiliar!$B$16:$D$24,3,0)*Table1[[#This Row],[Estimação (horas)]]</f>
        <v>0.5</v>
      </c>
      <c r="X225" s="2"/>
    </row>
    <row r="226" spans="2:24" ht="17.7" hidden="1" customHeight="1" x14ac:dyDescent="0.25">
      <c r="B226" s="2" t="s">
        <v>26</v>
      </c>
      <c r="C226" s="2" t="s">
        <v>54</v>
      </c>
      <c r="D226" s="2" t="s">
        <v>124</v>
      </c>
      <c r="E226" s="2" t="s">
        <v>38</v>
      </c>
      <c r="F226" s="2" t="s">
        <v>123</v>
      </c>
      <c r="G226" s="2" t="s">
        <v>51</v>
      </c>
      <c r="H226" s="57" t="str">
        <f>Table1[[#This Row],[Tabela]]&amp;Table1[[#This Row],[Campo]]</f>
        <v>PROPERTY_ENERGY_CERTIFICATEENERGY_CONSUMPTION_VALUE_YEAR</v>
      </c>
      <c r="I226" s="2" t="s">
        <v>616</v>
      </c>
      <c r="J226" s="43">
        <f>VLOOKUP(Table1[[#This Row],[Status]],Auxiliar!$B$16:$C$24,2,0)</f>
        <v>5</v>
      </c>
      <c r="K226" s="2" t="s">
        <v>1255</v>
      </c>
      <c r="L226" s="29" t="s">
        <v>1250</v>
      </c>
      <c r="M226" s="21" t="s">
        <v>1259</v>
      </c>
      <c r="N226" s="48">
        <v>45604</v>
      </c>
      <c r="O226" s="21">
        <f>INDEX(Auxiliar!$D$5:$F$13,MATCH(Table1[[#This Row],[Tipologia_Testes]],Auxiliar!$B$5:$B$13,0),MATCH(Table1[[#This Row],[Complexidade]],Auxiliar!$D$4:$F$4,0))</f>
        <v>0.1</v>
      </c>
      <c r="P226" s="2" t="s">
        <v>1276</v>
      </c>
      <c r="Q226" s="2"/>
      <c r="R226" s="152">
        <v>45562</v>
      </c>
      <c r="S226" s="152"/>
      <c r="T226" s="152">
        <v>45603</v>
      </c>
      <c r="U226" s="152">
        <v>45607</v>
      </c>
      <c r="V226" s="152">
        <v>45600</v>
      </c>
      <c r="W226" s="2">
        <f>VLOOKUP(Table1[[#This Row],[Status]],Auxiliar!$B$16:$D$24,3,0)*Table1[[#This Row],[Estimação (horas)]]</f>
        <v>2.5000000000000001E-2</v>
      </c>
      <c r="X226" s="2"/>
    </row>
    <row r="227" spans="2:24" ht="17.7" hidden="1" customHeight="1" x14ac:dyDescent="0.25">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x14ac:dyDescent="0.25">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x14ac:dyDescent="0.25">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x14ac:dyDescent="0.25">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x14ac:dyDescent="0.25">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x14ac:dyDescent="0.25">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x14ac:dyDescent="0.25">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x14ac:dyDescent="0.25">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x14ac:dyDescent="0.25">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x14ac:dyDescent="0.25">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x14ac:dyDescent="0.25">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x14ac:dyDescent="0.25">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x14ac:dyDescent="0.25">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x14ac:dyDescent="0.25">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x14ac:dyDescent="0.25">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x14ac:dyDescent="0.25">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x14ac:dyDescent="0.25">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x14ac:dyDescent="0.25">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x14ac:dyDescent="0.25">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x14ac:dyDescent="0.25">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x14ac:dyDescent="0.25">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x14ac:dyDescent="0.25">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x14ac:dyDescent="0.25">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x14ac:dyDescent="0.25">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x14ac:dyDescent="0.25">
      <c r="B251" s="2" t="s">
        <v>26</v>
      </c>
      <c r="C251" s="2" t="s">
        <v>54</v>
      </c>
      <c r="D251" s="2" t="s">
        <v>124</v>
      </c>
      <c r="E251" s="2" t="s">
        <v>38</v>
      </c>
      <c r="F251" s="2" t="s">
        <v>123</v>
      </c>
      <c r="G251" s="2" t="s">
        <v>52</v>
      </c>
      <c r="H251" s="57" t="str">
        <f>Table1[[#This Row],[Tabela]]&amp;Table1[[#This Row],[Campo]]</f>
        <v>PROPERTY_ENERGY_CERTIFICATECARBON_EMISSION_VALUE_YEAR</v>
      </c>
      <c r="I251" s="2" t="s">
        <v>616</v>
      </c>
      <c r="J251" s="43">
        <f>VLOOKUP(Table1[[#This Row],[Status]],Auxiliar!$B$16:$C$24,2,0)</f>
        <v>5</v>
      </c>
      <c r="K251" s="2" t="s">
        <v>1252</v>
      </c>
      <c r="L251" s="29" t="s">
        <v>1250</v>
      </c>
      <c r="M251" s="21" t="s">
        <v>1259</v>
      </c>
      <c r="N251" s="48">
        <v>45604</v>
      </c>
      <c r="O251" s="21">
        <f>INDEX(Auxiliar!$D$5:$F$13,MATCH(Table1[[#This Row],[Tipologia_Testes]],Auxiliar!$B$5:$B$13,0),MATCH(Table1[[#This Row],[Complexidade]],Auxiliar!$D$4:$F$4,0))</f>
        <v>2</v>
      </c>
      <c r="P251" s="2" t="s">
        <v>1276</v>
      </c>
      <c r="Q251" s="2"/>
      <c r="R251" s="152">
        <v>45261</v>
      </c>
      <c r="S251" s="152"/>
      <c r="T251" s="152">
        <v>45603</v>
      </c>
      <c r="U251" s="152">
        <v>45607</v>
      </c>
      <c r="V251" s="152">
        <v>45600</v>
      </c>
      <c r="W251" s="2">
        <f>VLOOKUP(Table1[[#This Row],[Status]],Auxiliar!$B$16:$D$24,3,0)*Table1[[#This Row],[Estimação (horas)]]</f>
        <v>0.5</v>
      </c>
      <c r="X251" s="2"/>
    </row>
    <row r="252" spans="2:24" ht="17.7" hidden="1" customHeight="1" x14ac:dyDescent="0.25">
      <c r="B252" s="2" t="s">
        <v>26</v>
      </c>
      <c r="C252" s="2" t="s">
        <v>54</v>
      </c>
      <c r="D252" s="2" t="s">
        <v>124</v>
      </c>
      <c r="E252" s="2" t="s">
        <v>38</v>
      </c>
      <c r="F252" s="2" t="s">
        <v>123</v>
      </c>
      <c r="G252" s="2" t="s">
        <v>52</v>
      </c>
      <c r="H252" s="57" t="str">
        <f>Table1[[#This Row],[Tabela]]&amp;Table1[[#This Row],[Campo]]</f>
        <v>PROPERTY_ENERGY_CERTIFICATECARBON_EMISSION_VALUE_YEAR</v>
      </c>
      <c r="I252" s="2" t="s">
        <v>616</v>
      </c>
      <c r="J252" s="43">
        <f>VLOOKUP(Table1[[#This Row],[Status]],Auxiliar!$B$16:$C$24,2,0)</f>
        <v>5</v>
      </c>
      <c r="K252" s="2" t="s">
        <v>1253</v>
      </c>
      <c r="L252" s="29" t="s">
        <v>1250</v>
      </c>
      <c r="M252" s="21" t="s">
        <v>1259</v>
      </c>
      <c r="N252" s="48">
        <v>45604</v>
      </c>
      <c r="O252" s="21">
        <f>INDEX(Auxiliar!$D$5:$F$13,MATCH(Table1[[#This Row],[Tipologia_Testes]],Auxiliar!$B$5:$B$13,0),MATCH(Table1[[#This Row],[Complexidade]],Auxiliar!$D$4:$F$4,0))</f>
        <v>2</v>
      </c>
      <c r="P252" s="2" t="s">
        <v>1276</v>
      </c>
      <c r="Q252" s="2"/>
      <c r="R252" s="152">
        <v>45261</v>
      </c>
      <c r="S252" s="152"/>
      <c r="T252" s="152">
        <v>45603</v>
      </c>
      <c r="U252" s="152">
        <v>45607</v>
      </c>
      <c r="V252" s="152">
        <v>45600</v>
      </c>
      <c r="W252" s="2">
        <f>VLOOKUP(Table1[[#This Row],[Status]],Auxiliar!$B$16:$D$24,3,0)*Table1[[#This Row],[Estimação (horas)]]</f>
        <v>0.5</v>
      </c>
      <c r="X252" s="2"/>
    </row>
    <row r="253" spans="2:24" ht="17.7" hidden="1" customHeight="1" x14ac:dyDescent="0.25">
      <c r="B253" s="2" t="s">
        <v>26</v>
      </c>
      <c r="C253" s="2" t="s">
        <v>54</v>
      </c>
      <c r="D253" s="2" t="s">
        <v>124</v>
      </c>
      <c r="E253" s="2" t="s">
        <v>38</v>
      </c>
      <c r="F253" s="2" t="s">
        <v>123</v>
      </c>
      <c r="G253" s="2" t="s">
        <v>52</v>
      </c>
      <c r="H253" s="57" t="str">
        <f>Table1[[#This Row],[Tabela]]&amp;Table1[[#This Row],[Campo]]</f>
        <v>PROPERTY_ENERGY_CERTIFICATECARBON_EMISSION_VALUE_YEAR</v>
      </c>
      <c r="I253" s="2" t="s">
        <v>616</v>
      </c>
      <c r="J253" s="43">
        <f>VLOOKUP(Table1[[#This Row],[Status]],Auxiliar!$B$16:$C$24,2,0)</f>
        <v>5</v>
      </c>
      <c r="K253" s="2" t="s">
        <v>1255</v>
      </c>
      <c r="L253" s="29" t="s">
        <v>1250</v>
      </c>
      <c r="M253" s="21" t="s">
        <v>1259</v>
      </c>
      <c r="N253" s="48">
        <v>45604</v>
      </c>
      <c r="O253" s="21">
        <f>INDEX(Auxiliar!$D$5:$F$13,MATCH(Table1[[#This Row],[Tipologia_Testes]],Auxiliar!$B$5:$B$13,0),MATCH(Table1[[#This Row],[Complexidade]],Auxiliar!$D$4:$F$4,0))</f>
        <v>0.1</v>
      </c>
      <c r="P253" s="2" t="s">
        <v>1276</v>
      </c>
      <c r="Q253" s="2"/>
      <c r="R253" s="152">
        <v>45261</v>
      </c>
      <c r="S253" s="152"/>
      <c r="T253" s="152">
        <v>45603</v>
      </c>
      <c r="U253" s="152">
        <v>45607</v>
      </c>
      <c r="V253" s="152">
        <v>45600</v>
      </c>
      <c r="W253" s="2">
        <f>VLOOKUP(Table1[[#This Row],[Status]],Auxiliar!$B$16:$D$24,3,0)*Table1[[#This Row],[Estimação (horas)]]</f>
        <v>2.5000000000000001E-2</v>
      </c>
      <c r="X253" s="2"/>
    </row>
    <row r="254" spans="2:24" ht="17.7" hidden="1" customHeight="1" x14ac:dyDescent="0.25">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x14ac:dyDescent="0.25">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x14ac:dyDescent="0.25">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x14ac:dyDescent="0.25">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x14ac:dyDescent="0.25">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x14ac:dyDescent="0.25">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x14ac:dyDescent="0.25">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x14ac:dyDescent="0.25">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x14ac:dyDescent="0.25">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x14ac:dyDescent="0.25">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x14ac:dyDescent="0.25">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x14ac:dyDescent="0.25">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x14ac:dyDescent="0.25">
      <c r="B266" s="2" t="s">
        <v>26</v>
      </c>
      <c r="C266" s="2" t="s">
        <v>54</v>
      </c>
      <c r="D266" s="2" t="s">
        <v>124</v>
      </c>
      <c r="E266" s="2" t="s">
        <v>38</v>
      </c>
      <c r="F266" s="2" t="s">
        <v>123</v>
      </c>
      <c r="G266" s="2" t="s">
        <v>160</v>
      </c>
      <c r="H266" s="57" t="str">
        <f>Table1[[#This Row],[Tabela]]&amp;Table1[[#This Row],[Campo]]</f>
        <v>PROPERTY_ENERGY_CERTIFICATEREN_ENERGY_PRODUCED_VALUE</v>
      </c>
      <c r="I266" s="2" t="s">
        <v>616</v>
      </c>
      <c r="J266" s="43">
        <f>VLOOKUP(Table1[[#This Row],[Status]],Auxiliar!$B$16:$C$24,2,0)</f>
        <v>5</v>
      </c>
      <c r="K266" s="2" t="s">
        <v>1252</v>
      </c>
      <c r="L266" s="29" t="s">
        <v>1250</v>
      </c>
      <c r="M266" s="21" t="s">
        <v>1259</v>
      </c>
      <c r="N266" s="48">
        <v>45604</v>
      </c>
      <c r="O266" s="21">
        <f>INDEX(Auxiliar!$D$5:$F$13,MATCH(Table1[[#This Row],[Tipologia_Testes]],Auxiliar!$B$5:$B$13,0),MATCH(Table1[[#This Row],[Complexidade]],Auxiliar!$D$4:$F$4,0))</f>
        <v>2</v>
      </c>
      <c r="P266" s="2" t="s">
        <v>1276</v>
      </c>
      <c r="Q266" s="2"/>
      <c r="R266" s="152">
        <v>45261</v>
      </c>
      <c r="S266" s="152"/>
      <c r="T266" s="152">
        <v>45603</v>
      </c>
      <c r="U266" s="152">
        <v>45607</v>
      </c>
      <c r="V266" s="152">
        <v>45600</v>
      </c>
      <c r="W266" s="2">
        <f>VLOOKUP(Table1[[#This Row],[Status]],Auxiliar!$B$16:$D$24,3,0)*Table1[[#This Row],[Estimação (horas)]]</f>
        <v>0.5</v>
      </c>
      <c r="X266" s="2"/>
    </row>
    <row r="267" spans="2:24" ht="17.7" hidden="1" customHeight="1" x14ac:dyDescent="0.25">
      <c r="B267" s="2" t="s">
        <v>26</v>
      </c>
      <c r="C267" s="2" t="s">
        <v>54</v>
      </c>
      <c r="D267" s="2" t="s">
        <v>124</v>
      </c>
      <c r="E267" s="2" t="s">
        <v>38</v>
      </c>
      <c r="F267" s="2" t="s">
        <v>123</v>
      </c>
      <c r="G267" s="2" t="s">
        <v>160</v>
      </c>
      <c r="H267" s="57" t="str">
        <f>Table1[[#This Row],[Tabela]]&amp;Table1[[#This Row],[Campo]]</f>
        <v>PROPERTY_ENERGY_CERTIFICATEREN_ENERGY_PRODUCED_VALUE</v>
      </c>
      <c r="I267" s="2" t="s">
        <v>616</v>
      </c>
      <c r="J267" s="43">
        <f>VLOOKUP(Table1[[#This Row],[Status]],Auxiliar!$B$16:$C$24,2,0)</f>
        <v>5</v>
      </c>
      <c r="K267" s="2" t="s">
        <v>1253</v>
      </c>
      <c r="L267" s="29" t="s">
        <v>1250</v>
      </c>
      <c r="M267" s="21" t="s">
        <v>1259</v>
      </c>
      <c r="N267" s="48">
        <v>45604</v>
      </c>
      <c r="O267" s="21">
        <f>INDEX(Auxiliar!$D$5:$F$13,MATCH(Table1[[#This Row],[Tipologia_Testes]],Auxiliar!$B$5:$B$13,0),MATCH(Table1[[#This Row],[Complexidade]],Auxiliar!$D$4:$F$4,0))</f>
        <v>2</v>
      </c>
      <c r="P267" s="2" t="s">
        <v>1276</v>
      </c>
      <c r="Q267" s="2"/>
      <c r="R267" s="152">
        <v>45261</v>
      </c>
      <c r="S267" s="152"/>
      <c r="T267" s="152">
        <v>45603</v>
      </c>
      <c r="U267" s="152">
        <v>45607</v>
      </c>
      <c r="V267" s="152">
        <v>45600</v>
      </c>
      <c r="W267" s="2">
        <f>VLOOKUP(Table1[[#This Row],[Status]],Auxiliar!$B$16:$D$24,3,0)*Table1[[#This Row],[Estimação (horas)]]</f>
        <v>0.5</v>
      </c>
      <c r="X267" s="2"/>
    </row>
    <row r="268" spans="2:24" ht="17.7" hidden="1" customHeight="1" x14ac:dyDescent="0.25">
      <c r="B268" s="2" t="s">
        <v>26</v>
      </c>
      <c r="C268" s="2" t="s">
        <v>54</v>
      </c>
      <c r="D268" s="2" t="s">
        <v>124</v>
      </c>
      <c r="E268" s="2" t="s">
        <v>38</v>
      </c>
      <c r="F268" s="2" t="s">
        <v>123</v>
      </c>
      <c r="G268" s="2" t="s">
        <v>160</v>
      </c>
      <c r="H268" s="57" t="str">
        <f>Table1[[#This Row],[Tabela]]&amp;Table1[[#This Row],[Campo]]</f>
        <v>PROPERTY_ENERGY_CERTIFICATEREN_ENERGY_PRODUCED_VALUE</v>
      </c>
      <c r="I268" s="2" t="s">
        <v>616</v>
      </c>
      <c r="J268" s="43">
        <f>VLOOKUP(Table1[[#This Row],[Status]],Auxiliar!$B$16:$C$24,2,0)</f>
        <v>5</v>
      </c>
      <c r="K268" s="2" t="s">
        <v>1255</v>
      </c>
      <c r="L268" s="29" t="s">
        <v>1250</v>
      </c>
      <c r="M268" s="21" t="s">
        <v>1259</v>
      </c>
      <c r="N268" s="48">
        <v>45604</v>
      </c>
      <c r="O268" s="21">
        <f>INDEX(Auxiliar!$D$5:$F$13,MATCH(Table1[[#This Row],[Tipologia_Testes]],Auxiliar!$B$5:$B$13,0),MATCH(Table1[[#This Row],[Complexidade]],Auxiliar!$D$4:$F$4,0))</f>
        <v>0.1</v>
      </c>
      <c r="P268" s="2" t="s">
        <v>1276</v>
      </c>
      <c r="Q268" s="2"/>
      <c r="R268" s="152">
        <v>45261</v>
      </c>
      <c r="S268" s="152"/>
      <c r="T268" s="152">
        <v>45603</v>
      </c>
      <c r="U268" s="152">
        <v>45607</v>
      </c>
      <c r="V268" s="152">
        <v>45600</v>
      </c>
      <c r="W268" s="2">
        <f>VLOOKUP(Table1[[#This Row],[Status]],Auxiliar!$B$16:$D$24,3,0)*Table1[[#This Row],[Estimação (horas)]]</f>
        <v>2.5000000000000001E-2</v>
      </c>
      <c r="X268" s="2"/>
    </row>
    <row r="269" spans="2:24" ht="17.7" hidden="1" customHeight="1" x14ac:dyDescent="0.25">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x14ac:dyDescent="0.25">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x14ac:dyDescent="0.25">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x14ac:dyDescent="0.25">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x14ac:dyDescent="0.25">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x14ac:dyDescent="0.25">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x14ac:dyDescent="0.25">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x14ac:dyDescent="0.25">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x14ac:dyDescent="0.25">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x14ac:dyDescent="0.25">
      <c r="B278" s="2" t="s">
        <v>26</v>
      </c>
      <c r="C278" s="2" t="s">
        <v>54</v>
      </c>
      <c r="D278" s="2" t="s">
        <v>124</v>
      </c>
      <c r="E278" s="2" t="s">
        <v>38</v>
      </c>
      <c r="F278" s="2" t="s">
        <v>123</v>
      </c>
      <c r="G278" s="2" t="s">
        <v>164</v>
      </c>
      <c r="H278" s="57" t="str">
        <f>Table1[[#This Row],[Tabela]]&amp;Table1[[#This Row],[Campo]]</f>
        <v>PROPERTY_ENERGY_CERTIFICATEPRIMARY_ENERGY_REQ_VALUE</v>
      </c>
      <c r="I278" s="2" t="s">
        <v>616</v>
      </c>
      <c r="J278" s="43">
        <f>VLOOKUP(Table1[[#This Row],[Status]],Auxiliar!$B$16:$C$24,2,0)</f>
        <v>5</v>
      </c>
      <c r="K278" s="2" t="s">
        <v>1252</v>
      </c>
      <c r="L278" s="29" t="s">
        <v>1250</v>
      </c>
      <c r="M278" s="21" t="s">
        <v>1259</v>
      </c>
      <c r="N278" s="48">
        <v>45604</v>
      </c>
      <c r="O278" s="21">
        <f>INDEX(Auxiliar!$D$5:$F$13,MATCH(Table1[[#This Row],[Tipologia_Testes]],Auxiliar!$B$5:$B$13,0),MATCH(Table1[[#This Row],[Complexidade]],Auxiliar!$D$4:$F$4,0))</f>
        <v>2</v>
      </c>
      <c r="P278" s="2" t="s">
        <v>1276</v>
      </c>
      <c r="Q278" s="2"/>
      <c r="R278" s="152">
        <v>45261</v>
      </c>
      <c r="S278" s="152"/>
      <c r="T278" s="152">
        <v>45603</v>
      </c>
      <c r="U278" s="152">
        <v>45607</v>
      </c>
      <c r="V278" s="152">
        <v>45600</v>
      </c>
      <c r="W278" s="2">
        <f>VLOOKUP(Table1[[#This Row],[Status]],Auxiliar!$B$16:$D$24,3,0)*Table1[[#This Row],[Estimação (horas)]]</f>
        <v>0.5</v>
      </c>
      <c r="X278" s="2"/>
    </row>
    <row r="279" spans="2:24" ht="17.7" hidden="1" customHeight="1" x14ac:dyDescent="0.25">
      <c r="B279" s="2" t="s">
        <v>26</v>
      </c>
      <c r="C279" s="2" t="s">
        <v>54</v>
      </c>
      <c r="D279" s="2" t="s">
        <v>124</v>
      </c>
      <c r="E279" s="2" t="s">
        <v>38</v>
      </c>
      <c r="F279" s="2" t="s">
        <v>123</v>
      </c>
      <c r="G279" s="2" t="s">
        <v>164</v>
      </c>
      <c r="H279" s="57" t="str">
        <f>Table1[[#This Row],[Tabela]]&amp;Table1[[#This Row],[Campo]]</f>
        <v>PROPERTY_ENERGY_CERTIFICATEPRIMARY_ENERGY_REQ_VALUE</v>
      </c>
      <c r="I279" s="2" t="s">
        <v>616</v>
      </c>
      <c r="J279" s="43">
        <f>VLOOKUP(Table1[[#This Row],[Status]],Auxiliar!$B$16:$C$24,2,0)</f>
        <v>5</v>
      </c>
      <c r="K279" s="2" t="s">
        <v>1253</v>
      </c>
      <c r="L279" s="29" t="s">
        <v>1250</v>
      </c>
      <c r="M279" s="21" t="s">
        <v>1259</v>
      </c>
      <c r="N279" s="48">
        <v>45604</v>
      </c>
      <c r="O279" s="21">
        <f>INDEX(Auxiliar!$D$5:$F$13,MATCH(Table1[[#This Row],[Tipologia_Testes]],Auxiliar!$B$5:$B$13,0),MATCH(Table1[[#This Row],[Complexidade]],Auxiliar!$D$4:$F$4,0))</f>
        <v>2</v>
      </c>
      <c r="P279" s="2" t="s">
        <v>1276</v>
      </c>
      <c r="Q279" s="2"/>
      <c r="R279" s="152">
        <v>45261</v>
      </c>
      <c r="S279" s="152"/>
      <c r="T279" s="152">
        <v>45603</v>
      </c>
      <c r="U279" s="152">
        <v>45607</v>
      </c>
      <c r="V279" s="152">
        <v>45600</v>
      </c>
      <c r="W279" s="2">
        <f>VLOOKUP(Table1[[#This Row],[Status]],Auxiliar!$B$16:$D$24,3,0)*Table1[[#This Row],[Estimação (horas)]]</f>
        <v>0.5</v>
      </c>
      <c r="X279" s="2"/>
    </row>
    <row r="280" spans="2:24" ht="17.7" hidden="1" customHeight="1" x14ac:dyDescent="0.25">
      <c r="B280" s="2" t="s">
        <v>26</v>
      </c>
      <c r="C280" s="2" t="s">
        <v>54</v>
      </c>
      <c r="D280" s="2" t="s">
        <v>124</v>
      </c>
      <c r="E280" s="2" t="s">
        <v>38</v>
      </c>
      <c r="F280" s="2" t="s">
        <v>123</v>
      </c>
      <c r="G280" s="2" t="s">
        <v>164</v>
      </c>
      <c r="H280" s="57" t="str">
        <f>Table1[[#This Row],[Tabela]]&amp;Table1[[#This Row],[Campo]]</f>
        <v>PROPERTY_ENERGY_CERTIFICATEPRIMARY_ENERGY_REQ_VALUE</v>
      </c>
      <c r="I280" s="2" t="s">
        <v>616</v>
      </c>
      <c r="J280" s="43">
        <f>VLOOKUP(Table1[[#This Row],[Status]],Auxiliar!$B$16:$C$24,2,0)</f>
        <v>5</v>
      </c>
      <c r="K280" s="2" t="s">
        <v>1255</v>
      </c>
      <c r="L280" s="29" t="s">
        <v>1250</v>
      </c>
      <c r="M280" s="21" t="s">
        <v>1259</v>
      </c>
      <c r="N280" s="48">
        <v>45604</v>
      </c>
      <c r="O280" s="21">
        <f>INDEX(Auxiliar!$D$5:$F$13,MATCH(Table1[[#This Row],[Tipologia_Testes]],Auxiliar!$B$5:$B$13,0),MATCH(Table1[[#This Row],[Complexidade]],Auxiliar!$D$4:$F$4,0))</f>
        <v>0.1</v>
      </c>
      <c r="P280" s="2" t="s">
        <v>1276</v>
      </c>
      <c r="Q280" s="2"/>
      <c r="R280" s="152">
        <v>45261</v>
      </c>
      <c r="S280" s="152"/>
      <c r="T280" s="152">
        <v>45603</v>
      </c>
      <c r="U280" s="152">
        <v>45607</v>
      </c>
      <c r="V280" s="152">
        <v>45600</v>
      </c>
      <c r="W280" s="2">
        <f>VLOOKUP(Table1[[#This Row],[Status]],Auxiliar!$B$16:$D$24,3,0)*Table1[[#This Row],[Estimação (horas)]]</f>
        <v>2.5000000000000001E-2</v>
      </c>
      <c r="X280" s="2"/>
    </row>
    <row r="281" spans="2:24" ht="17.7" hidden="1" customHeight="1" x14ac:dyDescent="0.25">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x14ac:dyDescent="0.25">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x14ac:dyDescent="0.25">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x14ac:dyDescent="0.25">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x14ac:dyDescent="0.25">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x14ac:dyDescent="0.25">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x14ac:dyDescent="0.25">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x14ac:dyDescent="0.25">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x14ac:dyDescent="0.25">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x14ac:dyDescent="0.25">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x14ac:dyDescent="0.25">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x14ac:dyDescent="0.25">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x14ac:dyDescent="0.25">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x14ac:dyDescent="0.25">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x14ac:dyDescent="0.25">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x14ac:dyDescent="0.25">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x14ac:dyDescent="0.25">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x14ac:dyDescent="0.25">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x14ac:dyDescent="0.25">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x14ac:dyDescent="0.25">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x14ac:dyDescent="0.25">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x14ac:dyDescent="0.25">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x14ac:dyDescent="0.25">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x14ac:dyDescent="0.25">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x14ac:dyDescent="0.25">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x14ac:dyDescent="0.25">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x14ac:dyDescent="0.25">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x14ac:dyDescent="0.25">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x14ac:dyDescent="0.25">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x14ac:dyDescent="0.25">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x14ac:dyDescent="0.25">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x14ac:dyDescent="0.25">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x14ac:dyDescent="0.25">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x14ac:dyDescent="0.25">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x14ac:dyDescent="0.25">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x14ac:dyDescent="0.25">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x14ac:dyDescent="0.25">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x14ac:dyDescent="0.25">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x14ac:dyDescent="0.25">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x14ac:dyDescent="0.25">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x14ac:dyDescent="0.25">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x14ac:dyDescent="0.25">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x14ac:dyDescent="0.25">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x14ac:dyDescent="0.25">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x14ac:dyDescent="0.25">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x14ac:dyDescent="0.25">
      <c r="B326" s="2" t="s">
        <v>26</v>
      </c>
      <c r="C326" s="2" t="s">
        <v>54</v>
      </c>
      <c r="D326" s="2" t="s">
        <v>124</v>
      </c>
      <c r="E326" s="2" t="s">
        <v>38</v>
      </c>
      <c r="F326" s="2" t="s">
        <v>123</v>
      </c>
      <c r="G326" s="2" t="s">
        <v>97</v>
      </c>
      <c r="H326" s="57" t="str">
        <f>Table1[[#This Row],[Tabela]]&amp;Table1[[#This Row],[Campo]]</f>
        <v>PROPERTY_ENERGY_CERTIFICATENET_FLOOR_AREA</v>
      </c>
      <c r="I326" s="2" t="s">
        <v>616</v>
      </c>
      <c r="J326" s="43">
        <f>VLOOKUP(Table1[[#This Row],[Status]],Auxiliar!$B$16:$C$24,2,0)</f>
        <v>5</v>
      </c>
      <c r="K326" s="2" t="s">
        <v>1252</v>
      </c>
      <c r="L326" s="29" t="s">
        <v>1250</v>
      </c>
      <c r="M326" s="21" t="s">
        <v>1259</v>
      </c>
      <c r="N326" s="48">
        <v>45604</v>
      </c>
      <c r="O326" s="21">
        <f>INDEX(Auxiliar!$D$5:$F$13,MATCH(Table1[[#This Row],[Tipologia_Testes]],Auxiliar!$B$5:$B$13,0),MATCH(Table1[[#This Row],[Complexidade]],Auxiliar!$D$4:$F$4,0))</f>
        <v>2</v>
      </c>
      <c r="P326" s="2" t="s">
        <v>1276</v>
      </c>
      <c r="Q326" s="2"/>
      <c r="R326" s="152">
        <v>45261</v>
      </c>
      <c r="S326" s="152"/>
      <c r="T326" s="152">
        <v>45603</v>
      </c>
      <c r="U326" s="152">
        <v>45607</v>
      </c>
      <c r="V326" s="152">
        <v>45600</v>
      </c>
      <c r="W326" s="2">
        <f>VLOOKUP(Table1[[#This Row],[Status]],Auxiliar!$B$16:$D$24,3,0)*Table1[[#This Row],[Estimação (horas)]]</f>
        <v>0.5</v>
      </c>
      <c r="X326" s="2"/>
    </row>
    <row r="327" spans="2:24" ht="17.7" hidden="1" customHeight="1" x14ac:dyDescent="0.25">
      <c r="B327" s="2" t="s">
        <v>26</v>
      </c>
      <c r="C327" s="2" t="s">
        <v>54</v>
      </c>
      <c r="D327" s="2" t="s">
        <v>124</v>
      </c>
      <c r="E327" s="2" t="s">
        <v>38</v>
      </c>
      <c r="F327" s="2" t="s">
        <v>123</v>
      </c>
      <c r="G327" s="2" t="s">
        <v>97</v>
      </c>
      <c r="H327" s="57" t="str">
        <f>Table1[[#This Row],[Tabela]]&amp;Table1[[#This Row],[Campo]]</f>
        <v>PROPERTY_ENERGY_CERTIFICATENET_FLOOR_AREA</v>
      </c>
      <c r="I327" s="2" t="s">
        <v>616</v>
      </c>
      <c r="J327" s="43">
        <f>VLOOKUP(Table1[[#This Row],[Status]],Auxiliar!$B$16:$C$24,2,0)</f>
        <v>5</v>
      </c>
      <c r="K327" s="2" t="s">
        <v>1253</v>
      </c>
      <c r="L327" s="29" t="s">
        <v>1250</v>
      </c>
      <c r="M327" s="21" t="s">
        <v>1259</v>
      </c>
      <c r="N327" s="48">
        <v>45604</v>
      </c>
      <c r="O327" s="21">
        <f>INDEX(Auxiliar!$D$5:$F$13,MATCH(Table1[[#This Row],[Tipologia_Testes]],Auxiliar!$B$5:$B$13,0),MATCH(Table1[[#This Row],[Complexidade]],Auxiliar!$D$4:$F$4,0))</f>
        <v>2</v>
      </c>
      <c r="P327" s="2" t="s">
        <v>1276</v>
      </c>
      <c r="Q327" s="2"/>
      <c r="R327" s="152"/>
      <c r="S327" s="152"/>
      <c r="T327" s="152">
        <v>45603</v>
      </c>
      <c r="U327" s="152">
        <v>45607</v>
      </c>
      <c r="V327" s="152">
        <v>45600</v>
      </c>
      <c r="W327" s="2">
        <f>VLOOKUP(Table1[[#This Row],[Status]],Auxiliar!$B$16:$D$24,3,0)*Table1[[#This Row],[Estimação (horas)]]</f>
        <v>0.5</v>
      </c>
      <c r="X327" s="2"/>
    </row>
    <row r="328" spans="2:24" ht="17.7" hidden="1" customHeight="1" x14ac:dyDescent="0.25">
      <c r="B328" s="2" t="s">
        <v>26</v>
      </c>
      <c r="C328" s="2" t="s">
        <v>54</v>
      </c>
      <c r="D328" s="2" t="s">
        <v>124</v>
      </c>
      <c r="E328" s="2" t="s">
        <v>38</v>
      </c>
      <c r="F328" s="2" t="s">
        <v>123</v>
      </c>
      <c r="G328" s="2" t="s">
        <v>97</v>
      </c>
      <c r="H328" s="57" t="str">
        <f>Table1[[#This Row],[Tabela]]&amp;Table1[[#This Row],[Campo]]</f>
        <v>PROPERTY_ENERGY_CERTIFICATENET_FLOOR_AREA</v>
      </c>
      <c r="I328" s="2" t="s">
        <v>616</v>
      </c>
      <c r="J328" s="43">
        <f>VLOOKUP(Table1[[#This Row],[Status]],Auxiliar!$B$16:$C$24,2,0)</f>
        <v>5</v>
      </c>
      <c r="K328" s="2" t="s">
        <v>1255</v>
      </c>
      <c r="L328" s="29" t="s">
        <v>1250</v>
      </c>
      <c r="M328" s="21" t="s">
        <v>1259</v>
      </c>
      <c r="N328" s="48">
        <v>45604</v>
      </c>
      <c r="O328" s="21">
        <f>INDEX(Auxiliar!$D$5:$F$13,MATCH(Table1[[#This Row],[Tipologia_Testes]],Auxiliar!$B$5:$B$13,0),MATCH(Table1[[#This Row],[Complexidade]],Auxiliar!$D$4:$F$4,0))</f>
        <v>0.1</v>
      </c>
      <c r="P328" s="2" t="s">
        <v>1276</v>
      </c>
      <c r="Q328" s="2"/>
      <c r="R328" s="152"/>
      <c r="S328" s="152"/>
      <c r="T328" s="152">
        <v>45603</v>
      </c>
      <c r="U328" s="152">
        <v>45607</v>
      </c>
      <c r="V328" s="152">
        <v>45600</v>
      </c>
      <c r="W328" s="2">
        <f>VLOOKUP(Table1[[#This Row],[Status]],Auxiliar!$B$16:$D$24,3,0)*Table1[[#This Row],[Estimação (horas)]]</f>
        <v>2.5000000000000001E-2</v>
      </c>
      <c r="X328" s="2"/>
    </row>
    <row r="329" spans="2:24" ht="17.7" hidden="1" customHeight="1" x14ac:dyDescent="0.25">
      <c r="B329" s="2" t="s">
        <v>26</v>
      </c>
      <c r="C329" s="2" t="s">
        <v>54</v>
      </c>
      <c r="D329" s="2" t="s">
        <v>124</v>
      </c>
      <c r="E329" s="2" t="s">
        <v>38</v>
      </c>
      <c r="F329" s="2" t="s">
        <v>123</v>
      </c>
      <c r="G329" s="2" t="s">
        <v>98</v>
      </c>
      <c r="H329" s="57" t="str">
        <f>Table1[[#This Row],[Tabela]]&amp;Table1[[#This Row],[Campo]]</f>
        <v>PROPERTY_ENERGY_CERTIFICATECADASTRAL_REGISTER_CODE</v>
      </c>
      <c r="I329" s="2" t="s">
        <v>616</v>
      </c>
      <c r="J329" s="43">
        <f>VLOOKUP(Table1[[#This Row],[Status]],Auxiliar!$B$16:$C$24,2,0)</f>
        <v>5</v>
      </c>
      <c r="K329" s="2" t="s">
        <v>1252</v>
      </c>
      <c r="L329" s="29" t="s">
        <v>1250</v>
      </c>
      <c r="M329" s="21" t="s">
        <v>1259</v>
      </c>
      <c r="N329" s="48">
        <v>45604</v>
      </c>
      <c r="O329" s="21">
        <f>INDEX(Auxiliar!$D$5:$F$13,MATCH(Table1[[#This Row],[Tipologia_Testes]],Auxiliar!$B$5:$B$13,0),MATCH(Table1[[#This Row],[Complexidade]],Auxiliar!$D$4:$F$4,0))</f>
        <v>2</v>
      </c>
      <c r="P329" s="2" t="s">
        <v>1276</v>
      </c>
      <c r="Q329" s="2"/>
      <c r="R329" s="152">
        <v>45261</v>
      </c>
      <c r="S329" s="152"/>
      <c r="T329" s="152">
        <v>45603</v>
      </c>
      <c r="U329" s="152">
        <v>45607</v>
      </c>
      <c r="V329" s="152">
        <v>45600</v>
      </c>
      <c r="W329" s="2">
        <f>VLOOKUP(Table1[[#This Row],[Status]],Auxiliar!$B$16:$D$24,3,0)*Table1[[#This Row],[Estimação (horas)]]</f>
        <v>0.5</v>
      </c>
      <c r="X329" s="2"/>
    </row>
    <row r="330" spans="2:24" ht="17.7" hidden="1" customHeight="1" x14ac:dyDescent="0.25">
      <c r="B330" s="2" t="s">
        <v>26</v>
      </c>
      <c r="C330" s="2" t="s">
        <v>54</v>
      </c>
      <c r="D330" s="2" t="s">
        <v>124</v>
      </c>
      <c r="E330" s="2" t="s">
        <v>38</v>
      </c>
      <c r="F330" s="2" t="s">
        <v>123</v>
      </c>
      <c r="G330" s="2" t="s">
        <v>98</v>
      </c>
      <c r="H330" s="57" t="str">
        <f>Table1[[#This Row],[Tabela]]&amp;Table1[[#This Row],[Campo]]</f>
        <v>PROPERTY_ENERGY_CERTIFICATECADASTRAL_REGISTER_CODE</v>
      </c>
      <c r="I330" s="2" t="s">
        <v>616</v>
      </c>
      <c r="J330" s="43">
        <f>VLOOKUP(Table1[[#This Row],[Status]],Auxiliar!$B$16:$C$24,2,0)</f>
        <v>5</v>
      </c>
      <c r="K330" s="2" t="s">
        <v>1253</v>
      </c>
      <c r="L330" s="29" t="s">
        <v>1250</v>
      </c>
      <c r="M330" s="21" t="s">
        <v>1259</v>
      </c>
      <c r="N330" s="48">
        <v>45604</v>
      </c>
      <c r="O330" s="21">
        <f>INDEX(Auxiliar!$D$5:$F$13,MATCH(Table1[[#This Row],[Tipologia_Testes]],Auxiliar!$B$5:$B$13,0),MATCH(Table1[[#This Row],[Complexidade]],Auxiliar!$D$4:$F$4,0))</f>
        <v>2</v>
      </c>
      <c r="P330" s="2" t="s">
        <v>1276</v>
      </c>
      <c r="Q330" s="2"/>
      <c r="R330" s="152"/>
      <c r="S330" s="152"/>
      <c r="T330" s="152">
        <v>45603</v>
      </c>
      <c r="U330" s="152">
        <v>45607</v>
      </c>
      <c r="V330" s="152">
        <v>45600</v>
      </c>
      <c r="W330" s="2">
        <f>VLOOKUP(Table1[[#This Row],[Status]],Auxiliar!$B$16:$D$24,3,0)*Table1[[#This Row],[Estimação (horas)]]</f>
        <v>0.5</v>
      </c>
      <c r="X330" s="2"/>
    </row>
    <row r="331" spans="2:24" ht="17.7" hidden="1" customHeight="1" x14ac:dyDescent="0.25">
      <c r="B331" s="2" t="s">
        <v>26</v>
      </c>
      <c r="C331" s="2" t="s">
        <v>54</v>
      </c>
      <c r="D331" s="2" t="s">
        <v>124</v>
      </c>
      <c r="E331" s="2" t="s">
        <v>38</v>
      </c>
      <c r="F331" s="2" t="s">
        <v>123</v>
      </c>
      <c r="G331" s="2" t="s">
        <v>98</v>
      </c>
      <c r="H331" s="57" t="str">
        <f>Table1[[#This Row],[Tabela]]&amp;Table1[[#This Row],[Campo]]</f>
        <v>PROPERTY_ENERGY_CERTIFICATECADASTRAL_REGISTER_CODE</v>
      </c>
      <c r="I331" s="2" t="s">
        <v>616</v>
      </c>
      <c r="J331" s="43">
        <f>VLOOKUP(Table1[[#This Row],[Status]],Auxiliar!$B$16:$C$24,2,0)</f>
        <v>5</v>
      </c>
      <c r="K331" s="2" t="s">
        <v>1255</v>
      </c>
      <c r="L331" s="29" t="s">
        <v>1250</v>
      </c>
      <c r="M331" s="21" t="s">
        <v>1259</v>
      </c>
      <c r="N331" s="48">
        <v>45604</v>
      </c>
      <c r="O331" s="21">
        <f>INDEX(Auxiliar!$D$5:$F$13,MATCH(Table1[[#This Row],[Tipologia_Testes]],Auxiliar!$B$5:$B$13,0),MATCH(Table1[[#This Row],[Complexidade]],Auxiliar!$D$4:$F$4,0))</f>
        <v>0.1</v>
      </c>
      <c r="P331" s="2" t="s">
        <v>1276</v>
      </c>
      <c r="Q331" s="2"/>
      <c r="R331" s="152"/>
      <c r="S331" s="152"/>
      <c r="T331" s="152">
        <v>45603</v>
      </c>
      <c r="U331" s="152">
        <v>45607</v>
      </c>
      <c r="V331" s="152">
        <v>45600</v>
      </c>
      <c r="W331" s="2">
        <f>VLOOKUP(Table1[[#This Row],[Status]],Auxiliar!$B$16:$D$24,3,0)*Table1[[#This Row],[Estimação (horas)]]</f>
        <v>2.5000000000000001E-2</v>
      </c>
      <c r="X331" s="2"/>
    </row>
    <row r="332" spans="2:24" ht="17.7" hidden="1" customHeight="1" x14ac:dyDescent="0.25">
      <c r="B332" s="2" t="s">
        <v>26</v>
      </c>
      <c r="C332" s="2" t="s">
        <v>54</v>
      </c>
      <c r="D332" s="2" t="s">
        <v>124</v>
      </c>
      <c r="E332" s="2" t="s">
        <v>38</v>
      </c>
      <c r="F332" s="2" t="s">
        <v>123</v>
      </c>
      <c r="G332" s="2" t="s">
        <v>101</v>
      </c>
      <c r="H332" s="57" t="str">
        <f>Table1[[#This Row],[Tabela]]&amp;Table1[[#This Row],[Campo]]</f>
        <v>PROPERTY_ENERGY_CERTIFICATEDISTRICT_MUNICIP_PARISH_CODE</v>
      </c>
      <c r="I332" s="2" t="s">
        <v>616</v>
      </c>
      <c r="J332" s="43">
        <f>VLOOKUP(Table1[[#This Row],[Status]],Auxiliar!$B$16:$C$24,2,0)</f>
        <v>5</v>
      </c>
      <c r="K332" s="2" t="s">
        <v>1252</v>
      </c>
      <c r="L332" s="29" t="s">
        <v>1250</v>
      </c>
      <c r="M332" s="21" t="s">
        <v>1259</v>
      </c>
      <c r="N332" s="48">
        <v>45604</v>
      </c>
      <c r="O332" s="21">
        <f>INDEX(Auxiliar!$D$5:$F$13,MATCH(Table1[[#This Row],[Tipologia_Testes]],Auxiliar!$B$5:$B$13,0),MATCH(Table1[[#This Row],[Complexidade]],Auxiliar!$D$4:$F$4,0))</f>
        <v>2</v>
      </c>
      <c r="P332" s="2" t="s">
        <v>1276</v>
      </c>
      <c r="Q332" s="2"/>
      <c r="R332" s="152">
        <v>45261</v>
      </c>
      <c r="S332" s="152"/>
      <c r="T332" s="152">
        <v>45603</v>
      </c>
      <c r="U332" s="152">
        <v>45607</v>
      </c>
      <c r="V332" s="152">
        <v>45600</v>
      </c>
      <c r="W332" s="2">
        <f>VLOOKUP(Table1[[#This Row],[Status]],Auxiliar!$B$16:$D$24,3,0)*Table1[[#This Row],[Estimação (horas)]]</f>
        <v>0.5</v>
      </c>
      <c r="X332" s="2"/>
    </row>
    <row r="333" spans="2:24" ht="17.7" hidden="1" customHeight="1" x14ac:dyDescent="0.25">
      <c r="B333" s="2" t="s">
        <v>26</v>
      </c>
      <c r="C333" s="2" t="s">
        <v>54</v>
      </c>
      <c r="D333" s="2" t="s">
        <v>124</v>
      </c>
      <c r="E333" s="2" t="s">
        <v>38</v>
      </c>
      <c r="F333" s="2" t="s">
        <v>123</v>
      </c>
      <c r="G333" s="2" t="s">
        <v>101</v>
      </c>
      <c r="H333" s="57" t="str">
        <f>Table1[[#This Row],[Tabela]]&amp;Table1[[#This Row],[Campo]]</f>
        <v>PROPERTY_ENERGY_CERTIFICATEDISTRICT_MUNICIP_PARISH_CODE</v>
      </c>
      <c r="I333" s="2" t="s">
        <v>616</v>
      </c>
      <c r="J333" s="43">
        <f>VLOOKUP(Table1[[#This Row],[Status]],Auxiliar!$B$16:$C$24,2,0)</f>
        <v>5</v>
      </c>
      <c r="K333" s="2" t="s">
        <v>1253</v>
      </c>
      <c r="L333" s="29" t="s">
        <v>1250</v>
      </c>
      <c r="M333" s="21" t="s">
        <v>1259</v>
      </c>
      <c r="N333" s="48">
        <v>45604</v>
      </c>
      <c r="O333" s="21">
        <f>INDEX(Auxiliar!$D$5:$F$13,MATCH(Table1[[#This Row],[Tipologia_Testes]],Auxiliar!$B$5:$B$13,0),MATCH(Table1[[#This Row],[Complexidade]],Auxiliar!$D$4:$F$4,0))</f>
        <v>2</v>
      </c>
      <c r="P333" s="2" t="s">
        <v>1276</v>
      </c>
      <c r="Q333" s="2"/>
      <c r="R333" s="152"/>
      <c r="S333" s="152"/>
      <c r="T333" s="152">
        <v>45603</v>
      </c>
      <c r="U333" s="152">
        <v>45607</v>
      </c>
      <c r="V333" s="152">
        <v>45600</v>
      </c>
      <c r="W333" s="2">
        <f>VLOOKUP(Table1[[#This Row],[Status]],Auxiliar!$B$16:$D$24,3,0)*Table1[[#This Row],[Estimação (horas)]]</f>
        <v>0.5</v>
      </c>
      <c r="X333" s="2"/>
    </row>
    <row r="334" spans="2:24" ht="17.7" hidden="1" customHeight="1" x14ac:dyDescent="0.25">
      <c r="B334" s="2" t="s">
        <v>26</v>
      </c>
      <c r="C334" s="2" t="s">
        <v>54</v>
      </c>
      <c r="D334" s="2" t="s">
        <v>124</v>
      </c>
      <c r="E334" s="2" t="s">
        <v>38</v>
      </c>
      <c r="F334" s="2" t="s">
        <v>123</v>
      </c>
      <c r="G334" s="2" t="s">
        <v>101</v>
      </c>
      <c r="H334" s="57" t="str">
        <f>Table1[[#This Row],[Tabela]]&amp;Table1[[#This Row],[Campo]]</f>
        <v>PROPERTY_ENERGY_CERTIFICATEDISTRICT_MUNICIP_PARISH_CODE</v>
      </c>
      <c r="I334" s="2" t="s">
        <v>616</v>
      </c>
      <c r="J334" s="43">
        <f>VLOOKUP(Table1[[#This Row],[Status]],Auxiliar!$B$16:$C$24,2,0)</f>
        <v>5</v>
      </c>
      <c r="K334" s="2" t="s">
        <v>1255</v>
      </c>
      <c r="L334" s="29" t="s">
        <v>1250</v>
      </c>
      <c r="M334" s="21" t="s">
        <v>1259</v>
      </c>
      <c r="N334" s="48">
        <v>45604</v>
      </c>
      <c r="O334" s="21">
        <f>INDEX(Auxiliar!$D$5:$F$13,MATCH(Table1[[#This Row],[Tipologia_Testes]],Auxiliar!$B$5:$B$13,0),MATCH(Table1[[#This Row],[Complexidade]],Auxiliar!$D$4:$F$4,0))</f>
        <v>0.1</v>
      </c>
      <c r="P334" s="2" t="s">
        <v>1276</v>
      </c>
      <c r="Q334" s="2"/>
      <c r="R334" s="152"/>
      <c r="S334" s="152"/>
      <c r="T334" s="152">
        <v>45603</v>
      </c>
      <c r="U334" s="152">
        <v>45607</v>
      </c>
      <c r="V334" s="152">
        <v>45600</v>
      </c>
      <c r="W334" s="2">
        <f>VLOOKUP(Table1[[#This Row],[Status]],Auxiliar!$B$16:$D$24,3,0)*Table1[[#This Row],[Estimação (horas)]]</f>
        <v>2.5000000000000001E-2</v>
      </c>
      <c r="X334" s="2"/>
    </row>
    <row r="335" spans="2:24" ht="17.7" hidden="1" customHeight="1" x14ac:dyDescent="0.25">
      <c r="B335" s="2" t="s">
        <v>26</v>
      </c>
      <c r="C335" s="2" t="s">
        <v>54</v>
      </c>
      <c r="D335" s="2" t="s">
        <v>124</v>
      </c>
      <c r="E335" s="2" t="s">
        <v>38</v>
      </c>
      <c r="F335" s="2" t="s">
        <v>123</v>
      </c>
      <c r="G335" s="2" t="s">
        <v>102</v>
      </c>
      <c r="H335" s="57" t="str">
        <f>Table1[[#This Row],[Tabela]]&amp;Table1[[#This Row],[Campo]]</f>
        <v>PROPERTY_ENERGY_CERTIFICATEPROPERTY_PURPOSE_CODE</v>
      </c>
      <c r="I335" s="2" t="s">
        <v>616</v>
      </c>
      <c r="J335" s="43">
        <f>VLOOKUP(Table1[[#This Row],[Status]],Auxiliar!$B$16:$C$24,2,0)</f>
        <v>5</v>
      </c>
      <c r="K335" s="2" t="s">
        <v>1252</v>
      </c>
      <c r="L335" s="29" t="s">
        <v>1250</v>
      </c>
      <c r="M335" s="21" t="s">
        <v>1259</v>
      </c>
      <c r="N335" s="48">
        <v>45604</v>
      </c>
      <c r="O335" s="21">
        <f>INDEX(Auxiliar!$D$5:$F$13,MATCH(Table1[[#This Row],[Tipologia_Testes]],Auxiliar!$B$5:$B$13,0),MATCH(Table1[[#This Row],[Complexidade]],Auxiliar!$D$4:$F$4,0))</f>
        <v>2</v>
      </c>
      <c r="P335" s="2" t="s">
        <v>1276</v>
      </c>
      <c r="Q335" s="2"/>
      <c r="R335" s="152">
        <v>45261</v>
      </c>
      <c r="S335" s="152"/>
      <c r="T335" s="152">
        <v>45603</v>
      </c>
      <c r="U335" s="152">
        <v>45607</v>
      </c>
      <c r="V335" s="152">
        <v>45600</v>
      </c>
      <c r="W335" s="2">
        <f>VLOOKUP(Table1[[#This Row],[Status]],Auxiliar!$B$16:$D$24,3,0)*Table1[[#This Row],[Estimação (horas)]]</f>
        <v>0.5</v>
      </c>
      <c r="X335" s="2"/>
    </row>
    <row r="336" spans="2:24" ht="17.7" hidden="1" customHeight="1" x14ac:dyDescent="0.25">
      <c r="B336" s="2" t="s">
        <v>26</v>
      </c>
      <c r="C336" s="2" t="s">
        <v>54</v>
      </c>
      <c r="D336" s="2" t="s">
        <v>124</v>
      </c>
      <c r="E336" s="2" t="s">
        <v>38</v>
      </c>
      <c r="F336" s="2" t="s">
        <v>123</v>
      </c>
      <c r="G336" s="2" t="s">
        <v>102</v>
      </c>
      <c r="H336" s="57" t="str">
        <f>Table1[[#This Row],[Tabela]]&amp;Table1[[#This Row],[Campo]]</f>
        <v>PROPERTY_ENERGY_CERTIFICATEPROPERTY_PURPOSE_CODE</v>
      </c>
      <c r="I336" s="2" t="s">
        <v>616</v>
      </c>
      <c r="J336" s="43">
        <f>VLOOKUP(Table1[[#This Row],[Status]],Auxiliar!$B$16:$C$24,2,0)</f>
        <v>5</v>
      </c>
      <c r="K336" s="2" t="s">
        <v>1253</v>
      </c>
      <c r="L336" s="29" t="s">
        <v>1250</v>
      </c>
      <c r="M336" s="21" t="s">
        <v>1259</v>
      </c>
      <c r="N336" s="48">
        <v>45604</v>
      </c>
      <c r="O336" s="21">
        <f>INDEX(Auxiliar!$D$5:$F$13,MATCH(Table1[[#This Row],[Tipologia_Testes]],Auxiliar!$B$5:$B$13,0),MATCH(Table1[[#This Row],[Complexidade]],Auxiliar!$D$4:$F$4,0))</f>
        <v>2</v>
      </c>
      <c r="P336" s="2" t="s">
        <v>1276</v>
      </c>
      <c r="Q336" s="2"/>
      <c r="R336" s="152"/>
      <c r="S336" s="152"/>
      <c r="T336" s="152">
        <v>45603</v>
      </c>
      <c r="U336" s="152">
        <v>45607</v>
      </c>
      <c r="V336" s="152">
        <v>45600</v>
      </c>
      <c r="W336" s="2">
        <f>VLOOKUP(Table1[[#This Row],[Status]],Auxiliar!$B$16:$D$24,3,0)*Table1[[#This Row],[Estimação (horas)]]</f>
        <v>0.5</v>
      </c>
      <c r="X336" s="2"/>
    </row>
    <row r="337" spans="2:24" ht="17.7" hidden="1" customHeight="1" x14ac:dyDescent="0.25">
      <c r="B337" s="2" t="s">
        <v>26</v>
      </c>
      <c r="C337" s="2" t="s">
        <v>54</v>
      </c>
      <c r="D337" s="2" t="s">
        <v>124</v>
      </c>
      <c r="E337" s="2" t="s">
        <v>38</v>
      </c>
      <c r="F337" s="2" t="s">
        <v>123</v>
      </c>
      <c r="G337" s="2" t="s">
        <v>102</v>
      </c>
      <c r="H337" s="57" t="str">
        <f>Table1[[#This Row],[Tabela]]&amp;Table1[[#This Row],[Campo]]</f>
        <v>PROPERTY_ENERGY_CERTIFICATEPROPERTY_PURPOSE_CODE</v>
      </c>
      <c r="I337" s="2" t="s">
        <v>616</v>
      </c>
      <c r="J337" s="43">
        <f>VLOOKUP(Table1[[#This Row],[Status]],Auxiliar!$B$16:$C$24,2,0)</f>
        <v>5</v>
      </c>
      <c r="K337" s="2" t="s">
        <v>1255</v>
      </c>
      <c r="L337" s="29" t="s">
        <v>1250</v>
      </c>
      <c r="M337" s="21" t="s">
        <v>1259</v>
      </c>
      <c r="N337" s="48">
        <v>45604</v>
      </c>
      <c r="O337" s="21">
        <f>INDEX(Auxiliar!$D$5:$F$13,MATCH(Table1[[#This Row],[Tipologia_Testes]],Auxiliar!$B$5:$B$13,0),MATCH(Table1[[#This Row],[Complexidade]],Auxiliar!$D$4:$F$4,0))</f>
        <v>0.1</v>
      </c>
      <c r="P337" s="2" t="s">
        <v>1276</v>
      </c>
      <c r="Q337" s="2"/>
      <c r="R337" s="152"/>
      <c r="S337" s="152"/>
      <c r="T337" s="152">
        <v>45603</v>
      </c>
      <c r="U337" s="152">
        <v>45607</v>
      </c>
      <c r="V337" s="152">
        <v>45600</v>
      </c>
      <c r="W337" s="2">
        <f>VLOOKUP(Table1[[#This Row],[Status]],Auxiliar!$B$16:$D$24,3,0)*Table1[[#This Row],[Estimação (horas)]]</f>
        <v>2.5000000000000001E-2</v>
      </c>
      <c r="X337" s="2"/>
    </row>
    <row r="338" spans="2:24" ht="17.7" hidden="1" customHeight="1" x14ac:dyDescent="0.25">
      <c r="B338" s="2" t="s">
        <v>26</v>
      </c>
      <c r="C338" s="2" t="s">
        <v>54</v>
      </c>
      <c r="D338" s="2" t="s">
        <v>124</v>
      </c>
      <c r="E338" s="2" t="s">
        <v>38</v>
      </c>
      <c r="F338" s="2" t="s">
        <v>123</v>
      </c>
      <c r="G338" s="2" t="s">
        <v>104</v>
      </c>
      <c r="H338" s="57" t="str">
        <f>Table1[[#This Row],[Tabela]]&amp;Table1[[#This Row],[Campo]]</f>
        <v>PROPERTY_ENERGY_CERTIFICATEADDRESS_CODE</v>
      </c>
      <c r="I338" s="2" t="s">
        <v>616</v>
      </c>
      <c r="J338" s="43">
        <f>VLOOKUP(Table1[[#This Row],[Status]],Auxiliar!$B$16:$C$24,2,0)</f>
        <v>5</v>
      </c>
      <c r="K338" s="2" t="s">
        <v>1252</v>
      </c>
      <c r="L338" s="29" t="s">
        <v>1250</v>
      </c>
      <c r="M338" s="21" t="s">
        <v>1259</v>
      </c>
      <c r="N338" s="48">
        <v>45604</v>
      </c>
      <c r="O338" s="21">
        <f>INDEX(Auxiliar!$D$5:$F$13,MATCH(Table1[[#This Row],[Tipologia_Testes]],Auxiliar!$B$5:$B$13,0),MATCH(Table1[[#This Row],[Complexidade]],Auxiliar!$D$4:$F$4,0))</f>
        <v>2</v>
      </c>
      <c r="P338" s="2" t="s">
        <v>1276</v>
      </c>
      <c r="Q338" s="2"/>
      <c r="R338" s="152">
        <v>45261</v>
      </c>
      <c r="S338" s="152"/>
      <c r="T338" s="152">
        <v>45603</v>
      </c>
      <c r="U338" s="152">
        <v>45607</v>
      </c>
      <c r="V338" s="152">
        <v>45600</v>
      </c>
      <c r="W338" s="2">
        <f>VLOOKUP(Table1[[#This Row],[Status]],Auxiliar!$B$16:$D$24,3,0)*Table1[[#This Row],[Estimação (horas)]]</f>
        <v>0.5</v>
      </c>
      <c r="X338" s="2"/>
    </row>
    <row r="339" spans="2:24" ht="17.7" hidden="1" customHeight="1" x14ac:dyDescent="0.25">
      <c r="B339" s="2" t="s">
        <v>26</v>
      </c>
      <c r="C339" s="2" t="s">
        <v>54</v>
      </c>
      <c r="D339" s="2" t="s">
        <v>124</v>
      </c>
      <c r="E339" s="2" t="s">
        <v>38</v>
      </c>
      <c r="F339" s="2" t="s">
        <v>123</v>
      </c>
      <c r="G339" s="2" t="s">
        <v>104</v>
      </c>
      <c r="H339" s="57" t="str">
        <f>Table1[[#This Row],[Tabela]]&amp;Table1[[#This Row],[Campo]]</f>
        <v>PROPERTY_ENERGY_CERTIFICATEADDRESS_CODE</v>
      </c>
      <c r="I339" s="2" t="s">
        <v>616</v>
      </c>
      <c r="J339" s="43">
        <f>VLOOKUP(Table1[[#This Row],[Status]],Auxiliar!$B$16:$C$24,2,0)</f>
        <v>5</v>
      </c>
      <c r="K339" s="2" t="s">
        <v>1253</v>
      </c>
      <c r="L339" s="29" t="s">
        <v>1250</v>
      </c>
      <c r="M339" s="21" t="s">
        <v>1259</v>
      </c>
      <c r="N339" s="48">
        <v>45604</v>
      </c>
      <c r="O339" s="21">
        <f>INDEX(Auxiliar!$D$5:$F$13,MATCH(Table1[[#This Row],[Tipologia_Testes]],Auxiliar!$B$5:$B$13,0),MATCH(Table1[[#This Row],[Complexidade]],Auxiliar!$D$4:$F$4,0))</f>
        <v>2</v>
      </c>
      <c r="P339" s="2" t="s">
        <v>1276</v>
      </c>
      <c r="Q339" s="2"/>
      <c r="R339" s="152"/>
      <c r="S339" s="152"/>
      <c r="T339" s="152">
        <v>45603</v>
      </c>
      <c r="U339" s="152">
        <v>45607</v>
      </c>
      <c r="V339" s="152">
        <v>45600</v>
      </c>
      <c r="W339" s="2">
        <f>VLOOKUP(Table1[[#This Row],[Status]],Auxiliar!$B$16:$D$24,3,0)*Table1[[#This Row],[Estimação (horas)]]</f>
        <v>0.5</v>
      </c>
      <c r="X339" s="2"/>
    </row>
    <row r="340" spans="2:24" ht="17.7" hidden="1" customHeight="1" x14ac:dyDescent="0.25">
      <c r="B340" s="2" t="s">
        <v>26</v>
      </c>
      <c r="C340" s="2" t="s">
        <v>54</v>
      </c>
      <c r="D340" s="2" t="s">
        <v>124</v>
      </c>
      <c r="E340" s="2" t="s">
        <v>38</v>
      </c>
      <c r="F340" s="2" t="s">
        <v>123</v>
      </c>
      <c r="G340" s="2" t="s">
        <v>104</v>
      </c>
      <c r="H340" s="57" t="str">
        <f>Table1[[#This Row],[Tabela]]&amp;Table1[[#This Row],[Campo]]</f>
        <v>PROPERTY_ENERGY_CERTIFICATEADDRESS_CODE</v>
      </c>
      <c r="I340" s="2" t="s">
        <v>616</v>
      </c>
      <c r="J340" s="43">
        <f>VLOOKUP(Table1[[#This Row],[Status]],Auxiliar!$B$16:$C$24,2,0)</f>
        <v>5</v>
      </c>
      <c r="K340" s="2" t="s">
        <v>1255</v>
      </c>
      <c r="L340" s="29" t="s">
        <v>1250</v>
      </c>
      <c r="M340" s="21" t="s">
        <v>1259</v>
      </c>
      <c r="N340" s="48">
        <v>45604</v>
      </c>
      <c r="O340" s="21">
        <f>INDEX(Auxiliar!$D$5:$F$13,MATCH(Table1[[#This Row],[Tipologia_Testes]],Auxiliar!$B$5:$B$13,0),MATCH(Table1[[#This Row],[Complexidade]],Auxiliar!$D$4:$F$4,0))</f>
        <v>0.1</v>
      </c>
      <c r="P340" s="2" t="s">
        <v>1276</v>
      </c>
      <c r="Q340" s="2"/>
      <c r="R340" s="152"/>
      <c r="S340" s="152"/>
      <c r="T340" s="152">
        <v>45603</v>
      </c>
      <c r="U340" s="152">
        <v>45607</v>
      </c>
      <c r="V340" s="152">
        <v>45600</v>
      </c>
      <c r="W340" s="2">
        <f>VLOOKUP(Table1[[#This Row],[Status]],Auxiliar!$B$16:$D$24,3,0)*Table1[[#This Row],[Estimação (horas)]]</f>
        <v>2.5000000000000001E-2</v>
      </c>
      <c r="X340" s="2"/>
    </row>
    <row r="341" spans="2:24" ht="17.7" hidden="1" customHeight="1" x14ac:dyDescent="0.25">
      <c r="B341" s="2" t="s">
        <v>26</v>
      </c>
      <c r="C341" s="2" t="s">
        <v>54</v>
      </c>
      <c r="D341" s="2" t="s">
        <v>124</v>
      </c>
      <c r="E341" s="2" t="s">
        <v>38</v>
      </c>
      <c r="F341" s="2" t="s">
        <v>123</v>
      </c>
      <c r="G341" s="2" t="s">
        <v>111</v>
      </c>
      <c r="H341" s="57" t="str">
        <f>Table1[[#This Row],[Tabela]]&amp;Table1[[#This Row],[Campo]]</f>
        <v>PROPERTY_ENERGY_CERTIFICATEFLOOR_NUMBER</v>
      </c>
      <c r="I341" s="2" t="s">
        <v>616</v>
      </c>
      <c r="J341" s="43">
        <f>VLOOKUP(Table1[[#This Row],[Status]],Auxiliar!$B$16:$C$24,2,0)</f>
        <v>5</v>
      </c>
      <c r="K341" s="2" t="s">
        <v>1252</v>
      </c>
      <c r="L341" s="29" t="s">
        <v>1250</v>
      </c>
      <c r="M341" s="21" t="s">
        <v>1259</v>
      </c>
      <c r="N341" s="48">
        <v>45604</v>
      </c>
      <c r="O341" s="21">
        <f>INDEX(Auxiliar!$D$5:$F$13,MATCH(Table1[[#This Row],[Tipologia_Testes]],Auxiliar!$B$5:$B$13,0),MATCH(Table1[[#This Row],[Complexidade]],Auxiliar!$D$4:$F$4,0))</f>
        <v>2</v>
      </c>
      <c r="P341" s="2" t="s">
        <v>1276</v>
      </c>
      <c r="Q341" s="2"/>
      <c r="R341" s="152">
        <v>45261</v>
      </c>
      <c r="S341" s="152"/>
      <c r="T341" s="152">
        <v>45603</v>
      </c>
      <c r="U341" s="152">
        <v>45607</v>
      </c>
      <c r="V341" s="152">
        <v>45600</v>
      </c>
      <c r="W341" s="2">
        <f>VLOOKUP(Table1[[#This Row],[Status]],Auxiliar!$B$16:$D$24,3,0)*Table1[[#This Row],[Estimação (horas)]]</f>
        <v>0.5</v>
      </c>
      <c r="X341" s="2"/>
    </row>
    <row r="342" spans="2:24" ht="17.7" hidden="1" customHeight="1" x14ac:dyDescent="0.25">
      <c r="B342" s="2" t="s">
        <v>26</v>
      </c>
      <c r="C342" s="2" t="s">
        <v>54</v>
      </c>
      <c r="D342" s="2" t="s">
        <v>124</v>
      </c>
      <c r="E342" s="2" t="s">
        <v>38</v>
      </c>
      <c r="F342" s="2" t="s">
        <v>123</v>
      </c>
      <c r="G342" s="2" t="s">
        <v>111</v>
      </c>
      <c r="H342" s="57" t="str">
        <f>Table1[[#This Row],[Tabela]]&amp;Table1[[#This Row],[Campo]]</f>
        <v>PROPERTY_ENERGY_CERTIFICATEFLOOR_NUMBER</v>
      </c>
      <c r="I342" s="2" t="s">
        <v>616</v>
      </c>
      <c r="J342" s="43">
        <f>VLOOKUP(Table1[[#This Row],[Status]],Auxiliar!$B$16:$C$24,2,0)</f>
        <v>5</v>
      </c>
      <c r="K342" s="2" t="s">
        <v>1253</v>
      </c>
      <c r="L342" s="29" t="s">
        <v>1250</v>
      </c>
      <c r="M342" s="21" t="s">
        <v>1259</v>
      </c>
      <c r="N342" s="48">
        <v>45604</v>
      </c>
      <c r="O342" s="21">
        <f>INDEX(Auxiliar!$D$5:$F$13,MATCH(Table1[[#This Row],[Tipologia_Testes]],Auxiliar!$B$5:$B$13,0),MATCH(Table1[[#This Row],[Complexidade]],Auxiliar!$D$4:$F$4,0))</f>
        <v>2</v>
      </c>
      <c r="P342" s="2" t="s">
        <v>1276</v>
      </c>
      <c r="Q342" s="2"/>
      <c r="R342" s="152"/>
      <c r="S342" s="152"/>
      <c r="T342" s="152">
        <v>45603</v>
      </c>
      <c r="U342" s="152">
        <v>45607</v>
      </c>
      <c r="V342" s="152">
        <v>45600</v>
      </c>
      <c r="W342" s="2">
        <f>VLOOKUP(Table1[[#This Row],[Status]],Auxiliar!$B$16:$D$24,3,0)*Table1[[#This Row],[Estimação (horas)]]</f>
        <v>0.5</v>
      </c>
      <c r="X342" s="2"/>
    </row>
    <row r="343" spans="2:24" ht="17.7" hidden="1" customHeight="1" x14ac:dyDescent="0.25">
      <c r="B343" s="2" t="s">
        <v>26</v>
      </c>
      <c r="C343" s="2" t="s">
        <v>54</v>
      </c>
      <c r="D343" s="2" t="s">
        <v>124</v>
      </c>
      <c r="E343" s="2" t="s">
        <v>38</v>
      </c>
      <c r="F343" s="2" t="s">
        <v>123</v>
      </c>
      <c r="G343" s="2" t="s">
        <v>111</v>
      </c>
      <c r="H343" s="57" t="str">
        <f>Table1[[#This Row],[Tabela]]&amp;Table1[[#This Row],[Campo]]</f>
        <v>PROPERTY_ENERGY_CERTIFICATEFLOOR_NUMBER</v>
      </c>
      <c r="I343" s="2" t="s">
        <v>616</v>
      </c>
      <c r="J343" s="43">
        <f>VLOOKUP(Table1[[#This Row],[Status]],Auxiliar!$B$16:$C$24,2,0)</f>
        <v>5</v>
      </c>
      <c r="K343" s="2" t="s">
        <v>1255</v>
      </c>
      <c r="L343" s="29" t="s">
        <v>1250</v>
      </c>
      <c r="M343" s="21" t="s">
        <v>1259</v>
      </c>
      <c r="N343" s="48">
        <v>45604</v>
      </c>
      <c r="O343" s="21">
        <f>INDEX(Auxiliar!$D$5:$F$13,MATCH(Table1[[#This Row],[Tipologia_Testes]],Auxiliar!$B$5:$B$13,0),MATCH(Table1[[#This Row],[Complexidade]],Auxiliar!$D$4:$F$4,0))</f>
        <v>0.1</v>
      </c>
      <c r="P343" s="2" t="s">
        <v>1276</v>
      </c>
      <c r="Q343" s="2"/>
      <c r="R343" s="152"/>
      <c r="S343" s="152"/>
      <c r="T343" s="152">
        <v>45603</v>
      </c>
      <c r="U343" s="152">
        <v>45607</v>
      </c>
      <c r="V343" s="152">
        <v>45600</v>
      </c>
      <c r="W343" s="2">
        <f>VLOOKUP(Table1[[#This Row],[Status]],Auxiliar!$B$16:$D$24,3,0)*Table1[[#This Row],[Estimação (horas)]]</f>
        <v>2.5000000000000001E-2</v>
      </c>
      <c r="X343" s="2"/>
    </row>
    <row r="344" spans="2:24" ht="17.7" hidden="1" customHeight="1" x14ac:dyDescent="0.25">
      <c r="B344" s="2" t="s">
        <v>26</v>
      </c>
      <c r="C344" s="2" t="s">
        <v>54</v>
      </c>
      <c r="D344" s="2" t="s">
        <v>124</v>
      </c>
      <c r="E344" s="2" t="s">
        <v>38</v>
      </c>
      <c r="F344" s="2" t="s">
        <v>123</v>
      </c>
      <c r="G344" s="2" t="s">
        <v>112</v>
      </c>
      <c r="H344" s="57" t="str">
        <f>Table1[[#This Row],[Tabela]]&amp;Table1[[#This Row],[Campo]]</f>
        <v>PROPERTY_ENERGY_CERTIFICATELOCALITY</v>
      </c>
      <c r="I344" s="2" t="s">
        <v>616</v>
      </c>
      <c r="J344" s="43">
        <f>VLOOKUP(Table1[[#This Row],[Status]],Auxiliar!$B$16:$C$24,2,0)</f>
        <v>5</v>
      </c>
      <c r="K344" s="2" t="s">
        <v>1252</v>
      </c>
      <c r="L344" s="29" t="s">
        <v>1250</v>
      </c>
      <c r="M344" s="21" t="s">
        <v>1259</v>
      </c>
      <c r="N344" s="48">
        <v>45604</v>
      </c>
      <c r="O344" s="21">
        <f>INDEX(Auxiliar!$D$5:$F$13,MATCH(Table1[[#This Row],[Tipologia_Testes]],Auxiliar!$B$5:$B$13,0),MATCH(Table1[[#This Row],[Complexidade]],Auxiliar!$D$4:$F$4,0))</f>
        <v>2</v>
      </c>
      <c r="P344" s="2" t="s">
        <v>1276</v>
      </c>
      <c r="Q344" s="2"/>
      <c r="R344" s="152">
        <v>45261</v>
      </c>
      <c r="S344" s="152"/>
      <c r="T344" s="152">
        <v>45603</v>
      </c>
      <c r="U344" s="152">
        <v>45607</v>
      </c>
      <c r="V344" s="152">
        <v>45600</v>
      </c>
      <c r="W344" s="2">
        <f>VLOOKUP(Table1[[#This Row],[Status]],Auxiliar!$B$16:$D$24,3,0)*Table1[[#This Row],[Estimação (horas)]]</f>
        <v>0.5</v>
      </c>
      <c r="X344" s="2"/>
    </row>
    <row r="345" spans="2:24" ht="17.7" hidden="1" customHeight="1" x14ac:dyDescent="0.25">
      <c r="B345" s="2" t="s">
        <v>26</v>
      </c>
      <c r="C345" s="2" t="s">
        <v>54</v>
      </c>
      <c r="D345" s="2" t="s">
        <v>124</v>
      </c>
      <c r="E345" s="2" t="s">
        <v>38</v>
      </c>
      <c r="F345" s="2" t="s">
        <v>123</v>
      </c>
      <c r="G345" s="2" t="s">
        <v>112</v>
      </c>
      <c r="H345" s="57" t="str">
        <f>Table1[[#This Row],[Tabela]]&amp;Table1[[#This Row],[Campo]]</f>
        <v>PROPERTY_ENERGY_CERTIFICATELOCALITY</v>
      </c>
      <c r="I345" s="2" t="s">
        <v>616</v>
      </c>
      <c r="J345" s="43">
        <f>VLOOKUP(Table1[[#This Row],[Status]],Auxiliar!$B$16:$C$24,2,0)</f>
        <v>5</v>
      </c>
      <c r="K345" s="2" t="s">
        <v>1253</v>
      </c>
      <c r="L345" s="29" t="s">
        <v>1250</v>
      </c>
      <c r="M345" s="21" t="s">
        <v>1259</v>
      </c>
      <c r="N345" s="48">
        <v>45604</v>
      </c>
      <c r="O345" s="21">
        <f>INDEX(Auxiliar!$D$5:$F$13,MATCH(Table1[[#This Row],[Tipologia_Testes]],Auxiliar!$B$5:$B$13,0),MATCH(Table1[[#This Row],[Complexidade]],Auxiliar!$D$4:$F$4,0))</f>
        <v>2</v>
      </c>
      <c r="P345" s="2" t="s">
        <v>1276</v>
      </c>
      <c r="Q345" s="2"/>
      <c r="R345" s="152"/>
      <c r="S345" s="152"/>
      <c r="T345" s="152">
        <v>45603</v>
      </c>
      <c r="U345" s="152">
        <v>45607</v>
      </c>
      <c r="V345" s="152">
        <v>45600</v>
      </c>
      <c r="W345" s="2">
        <f>VLOOKUP(Table1[[#This Row],[Status]],Auxiliar!$B$16:$D$24,3,0)*Table1[[#This Row],[Estimação (horas)]]</f>
        <v>0.5</v>
      </c>
      <c r="X345" s="2"/>
    </row>
    <row r="346" spans="2:24" ht="17.7" hidden="1" customHeight="1" x14ac:dyDescent="0.25">
      <c r="B346" s="2" t="s">
        <v>26</v>
      </c>
      <c r="C346" s="2" t="s">
        <v>54</v>
      </c>
      <c r="D346" s="2" t="s">
        <v>124</v>
      </c>
      <c r="E346" s="2" t="s">
        <v>38</v>
      </c>
      <c r="F346" s="2" t="s">
        <v>123</v>
      </c>
      <c r="G346" s="2" t="s">
        <v>112</v>
      </c>
      <c r="H346" s="57" t="str">
        <f>Table1[[#This Row],[Tabela]]&amp;Table1[[#This Row],[Campo]]</f>
        <v>PROPERTY_ENERGY_CERTIFICATELOCALITY</v>
      </c>
      <c r="I346" s="2" t="s">
        <v>616</v>
      </c>
      <c r="J346" s="43">
        <f>VLOOKUP(Table1[[#This Row],[Status]],Auxiliar!$B$16:$C$24,2,0)</f>
        <v>5</v>
      </c>
      <c r="K346" s="2" t="s">
        <v>1255</v>
      </c>
      <c r="L346" s="29" t="s">
        <v>1250</v>
      </c>
      <c r="M346" s="21" t="s">
        <v>1259</v>
      </c>
      <c r="N346" s="48">
        <v>45604</v>
      </c>
      <c r="O346" s="21">
        <f>INDEX(Auxiliar!$D$5:$F$13,MATCH(Table1[[#This Row],[Tipologia_Testes]],Auxiliar!$B$5:$B$13,0),MATCH(Table1[[#This Row],[Complexidade]],Auxiliar!$D$4:$F$4,0))</f>
        <v>0.1</v>
      </c>
      <c r="P346" s="2" t="s">
        <v>1276</v>
      </c>
      <c r="Q346" s="2"/>
      <c r="R346" s="152"/>
      <c r="S346" s="152"/>
      <c r="T346" s="152">
        <v>45603</v>
      </c>
      <c r="U346" s="152">
        <v>45607</v>
      </c>
      <c r="V346" s="152">
        <v>45600</v>
      </c>
      <c r="W346" s="2">
        <f>VLOOKUP(Table1[[#This Row],[Status]],Auxiliar!$B$16:$D$24,3,0)*Table1[[#This Row],[Estimação (horas)]]</f>
        <v>2.5000000000000001E-2</v>
      </c>
      <c r="X346" s="2"/>
    </row>
    <row r="347" spans="2:24" ht="69.599999999999994" hidden="1" customHeight="1" x14ac:dyDescent="0.25">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x14ac:dyDescent="0.25">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x14ac:dyDescent="0.25">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x14ac:dyDescent="0.25">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x14ac:dyDescent="0.25">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x14ac:dyDescent="0.25">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x14ac:dyDescent="0.25">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x14ac:dyDescent="0.25">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x14ac:dyDescent="0.25">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x14ac:dyDescent="0.25">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x14ac:dyDescent="0.25">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x14ac:dyDescent="0.25">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x14ac:dyDescent="0.25">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x14ac:dyDescent="0.25">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x14ac:dyDescent="0.25">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x14ac:dyDescent="0.25">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x14ac:dyDescent="0.25">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x14ac:dyDescent="0.25">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x14ac:dyDescent="0.25">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x14ac:dyDescent="0.25">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x14ac:dyDescent="0.25">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x14ac:dyDescent="0.25">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x14ac:dyDescent="0.25">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x14ac:dyDescent="0.25">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x14ac:dyDescent="0.25">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x14ac:dyDescent="0.25">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x14ac:dyDescent="0.25">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x14ac:dyDescent="0.25">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x14ac:dyDescent="0.25">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x14ac:dyDescent="0.25">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x14ac:dyDescent="0.25">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x14ac:dyDescent="0.25">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x14ac:dyDescent="0.25">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x14ac:dyDescent="0.25">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x14ac:dyDescent="0.25">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x14ac:dyDescent="0.25">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x14ac:dyDescent="0.25">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x14ac:dyDescent="0.25">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x14ac:dyDescent="0.25">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x14ac:dyDescent="0.25">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x14ac:dyDescent="0.25">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x14ac:dyDescent="0.25">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x14ac:dyDescent="0.25">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x14ac:dyDescent="0.25">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x14ac:dyDescent="0.25">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x14ac:dyDescent="0.25">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x14ac:dyDescent="0.25">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x14ac:dyDescent="0.25">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8"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x14ac:dyDescent="0.25">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8"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x14ac:dyDescent="0.25">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8"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x14ac:dyDescent="0.25">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8"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x14ac:dyDescent="0.25">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8"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x14ac:dyDescent="0.25">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8"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x14ac:dyDescent="0.25">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8"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x14ac:dyDescent="0.25">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8"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x14ac:dyDescent="0.25">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8"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x14ac:dyDescent="0.25">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8"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x14ac:dyDescent="0.25">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8"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x14ac:dyDescent="0.25">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8"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x14ac:dyDescent="0.25">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8"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x14ac:dyDescent="0.25">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8"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x14ac:dyDescent="0.25">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8"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x14ac:dyDescent="0.25">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8"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x14ac:dyDescent="0.25">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8"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x14ac:dyDescent="0.25">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8"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x14ac:dyDescent="0.25">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x14ac:dyDescent="0.25">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x14ac:dyDescent="0.25">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x14ac:dyDescent="0.25">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x14ac:dyDescent="0.25">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x14ac:dyDescent="0.25">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x14ac:dyDescent="0.25">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x14ac:dyDescent="0.25">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x14ac:dyDescent="0.25">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x14ac:dyDescent="0.25">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x14ac:dyDescent="0.25">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x14ac:dyDescent="0.25">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x14ac:dyDescent="0.25">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x14ac:dyDescent="0.25">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x14ac:dyDescent="0.25">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x14ac:dyDescent="0.25">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x14ac:dyDescent="0.25">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x14ac:dyDescent="0.25">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x14ac:dyDescent="0.25">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x14ac:dyDescent="0.25">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x14ac:dyDescent="0.25">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x14ac:dyDescent="0.25">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x14ac:dyDescent="0.25">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x14ac:dyDescent="0.25">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x14ac:dyDescent="0.25">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x14ac:dyDescent="0.25">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x14ac:dyDescent="0.25">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x14ac:dyDescent="0.25">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x14ac:dyDescent="0.25">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x14ac:dyDescent="0.25">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x14ac:dyDescent="0.25">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x14ac:dyDescent="0.25">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x14ac:dyDescent="0.25">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x14ac:dyDescent="0.25">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x14ac:dyDescent="0.25">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x14ac:dyDescent="0.25">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x14ac:dyDescent="0.25">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x14ac:dyDescent="0.25">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x14ac:dyDescent="0.25">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x14ac:dyDescent="0.25">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x14ac:dyDescent="0.25">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x14ac:dyDescent="0.25">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x14ac:dyDescent="0.25">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x14ac:dyDescent="0.25">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x14ac:dyDescent="0.25">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x14ac:dyDescent="0.25">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x14ac:dyDescent="0.25">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x14ac:dyDescent="0.25">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x14ac:dyDescent="0.25">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x14ac:dyDescent="0.25">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x14ac:dyDescent="0.25">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x14ac:dyDescent="0.25">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x14ac:dyDescent="0.25">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x14ac:dyDescent="0.25">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x14ac:dyDescent="0.25">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x14ac:dyDescent="0.25">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x14ac:dyDescent="0.25">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x14ac:dyDescent="0.25">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x14ac:dyDescent="0.25">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x14ac:dyDescent="0.25">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x14ac:dyDescent="0.25">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x14ac:dyDescent="0.25">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x14ac:dyDescent="0.25">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x14ac:dyDescent="0.25">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x14ac:dyDescent="0.25">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x14ac:dyDescent="0.25">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x14ac:dyDescent="0.25">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x14ac:dyDescent="0.25">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x14ac:dyDescent="0.25">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x14ac:dyDescent="0.25">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x14ac:dyDescent="0.25">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x14ac:dyDescent="0.25">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x14ac:dyDescent="0.25">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x14ac:dyDescent="0.25">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x14ac:dyDescent="0.25">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x14ac:dyDescent="0.25">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x14ac:dyDescent="0.25">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x14ac:dyDescent="0.25">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x14ac:dyDescent="0.25">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x14ac:dyDescent="0.25">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x14ac:dyDescent="0.25">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x14ac:dyDescent="0.25">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x14ac:dyDescent="0.25">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x14ac:dyDescent="0.25">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x14ac:dyDescent="0.25">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x14ac:dyDescent="0.25">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x14ac:dyDescent="0.25">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x14ac:dyDescent="0.25">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x14ac:dyDescent="0.25">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x14ac:dyDescent="0.25">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x14ac:dyDescent="0.25">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x14ac:dyDescent="0.25">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x14ac:dyDescent="0.25">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x14ac:dyDescent="0.25">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x14ac:dyDescent="0.25">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x14ac:dyDescent="0.25">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x14ac:dyDescent="0.25">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x14ac:dyDescent="0.25">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x14ac:dyDescent="0.25">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x14ac:dyDescent="0.25">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x14ac:dyDescent="0.25">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x14ac:dyDescent="0.25">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x14ac:dyDescent="0.25">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x14ac:dyDescent="0.25">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x14ac:dyDescent="0.25">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customHeight="1" x14ac:dyDescent="0.25">
      <c r="B517" s="2" t="s">
        <v>26</v>
      </c>
      <c r="C517" s="2" t="s">
        <v>311</v>
      </c>
      <c r="D517" s="2" t="s">
        <v>313</v>
      </c>
      <c r="E517" s="2" t="s">
        <v>38</v>
      </c>
      <c r="F517" s="2" t="s">
        <v>312</v>
      </c>
      <c r="G517" s="2" t="s">
        <v>320</v>
      </c>
      <c r="H517" s="57" t="str">
        <f>Table1[[#This Row],[Tabela]]&amp;Table1[[#This Row],[Campo]]</f>
        <v>modesg_out_bens_imoveisorigem_scp1_emss</v>
      </c>
      <c r="I517" s="2" t="s">
        <v>1931</v>
      </c>
      <c r="J517" s="43">
        <f>VLOOKUP(Table1[[#This Row],[Status]],Auxiliar!$B$16:$C$24,2,0)</f>
        <v>2</v>
      </c>
      <c r="K517" s="2" t="s">
        <v>1252</v>
      </c>
      <c r="L517" s="2" t="s">
        <v>1250</v>
      </c>
      <c r="M517" s="21" t="s">
        <v>1259</v>
      </c>
      <c r="N517" s="48">
        <v>45569</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1</v>
      </c>
      <c r="X517" s="2"/>
    </row>
    <row r="518" spans="2:24" ht="52.2" customHeight="1" x14ac:dyDescent="0.25">
      <c r="B518" s="2" t="s">
        <v>26</v>
      </c>
      <c r="C518" s="2" t="s">
        <v>311</v>
      </c>
      <c r="D518" s="2" t="s">
        <v>313</v>
      </c>
      <c r="E518" s="2" t="s">
        <v>38</v>
      </c>
      <c r="F518" s="2" t="s">
        <v>312</v>
      </c>
      <c r="G518" s="2" t="s">
        <v>320</v>
      </c>
      <c r="H518" s="57" t="str">
        <f>Table1[[#This Row],[Tabela]]&amp;Table1[[#This Row],[Campo]]</f>
        <v>modesg_out_bens_imoveisorigem_scp1_emss</v>
      </c>
      <c r="I518" s="2" t="s">
        <v>1931</v>
      </c>
      <c r="J518" s="43">
        <f>VLOOKUP(Table1[[#This Row],[Status]],Auxiliar!$B$16:$C$24,2,0)</f>
        <v>2</v>
      </c>
      <c r="K518" s="2" t="s">
        <v>1253</v>
      </c>
      <c r="L518" s="2" t="s">
        <v>1250</v>
      </c>
      <c r="M518" s="21" t="s">
        <v>1259</v>
      </c>
      <c r="N518" s="48">
        <v>45569</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1</v>
      </c>
      <c r="X518" s="2"/>
    </row>
    <row r="519" spans="2:24" ht="52.2" customHeight="1" x14ac:dyDescent="0.25">
      <c r="B519" s="2" t="s">
        <v>26</v>
      </c>
      <c r="C519" s="2" t="s">
        <v>311</v>
      </c>
      <c r="D519" s="2" t="s">
        <v>313</v>
      </c>
      <c r="E519" s="2" t="s">
        <v>38</v>
      </c>
      <c r="F519" s="2" t="s">
        <v>312</v>
      </c>
      <c r="G519" s="2" t="s">
        <v>320</v>
      </c>
      <c r="H519" s="57" t="str">
        <f>Table1[[#This Row],[Tabela]]&amp;Table1[[#This Row],[Campo]]</f>
        <v>modesg_out_bens_imoveisorigem_scp1_emss</v>
      </c>
      <c r="I519" s="2" t="s">
        <v>1931</v>
      </c>
      <c r="J519" s="43">
        <f>VLOOKUP(Table1[[#This Row],[Status]],Auxiliar!$B$16:$C$24,2,0)</f>
        <v>2</v>
      </c>
      <c r="K519" s="2" t="s">
        <v>1255</v>
      </c>
      <c r="L519" s="2" t="s">
        <v>1250</v>
      </c>
      <c r="M519" s="21" t="s">
        <v>1259</v>
      </c>
      <c r="N519" s="48">
        <v>45569</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0.05</v>
      </c>
      <c r="X519" s="2"/>
    </row>
    <row r="520" spans="2:24" ht="52.2" customHeight="1" x14ac:dyDescent="0.25">
      <c r="B520" s="2" t="s">
        <v>26</v>
      </c>
      <c r="C520" s="2" t="s">
        <v>311</v>
      </c>
      <c r="D520" s="2" t="s">
        <v>313</v>
      </c>
      <c r="E520" s="2" t="s">
        <v>38</v>
      </c>
      <c r="F520" s="2" t="s">
        <v>312</v>
      </c>
      <c r="G520" s="2" t="s">
        <v>321</v>
      </c>
      <c r="H520" s="57" t="str">
        <f>Table1[[#This Row],[Tabela]]&amp;Table1[[#This Row],[Campo]]</f>
        <v>modesg_out_bens_imoveisorigem_scp2_emss</v>
      </c>
      <c r="I520" s="2" t="s">
        <v>1931</v>
      </c>
      <c r="J520" s="43">
        <f>VLOOKUP(Table1[[#This Row],[Status]],Auxiliar!$B$16:$C$24,2,0)</f>
        <v>2</v>
      </c>
      <c r="K520" s="2" t="s">
        <v>1252</v>
      </c>
      <c r="L520" s="2" t="s">
        <v>1250</v>
      </c>
      <c r="M520" s="21" t="s">
        <v>1259</v>
      </c>
      <c r="N520" s="48">
        <v>45569</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1</v>
      </c>
      <c r="X520" s="2"/>
    </row>
    <row r="521" spans="2:24" ht="52.2" customHeight="1" x14ac:dyDescent="0.25">
      <c r="B521" s="2" t="s">
        <v>26</v>
      </c>
      <c r="C521" s="2" t="s">
        <v>311</v>
      </c>
      <c r="D521" s="2" t="s">
        <v>313</v>
      </c>
      <c r="E521" s="2" t="s">
        <v>38</v>
      </c>
      <c r="F521" s="2" t="s">
        <v>312</v>
      </c>
      <c r="G521" s="2" t="s">
        <v>321</v>
      </c>
      <c r="H521" s="57" t="str">
        <f>Table1[[#This Row],[Tabela]]&amp;Table1[[#This Row],[Campo]]</f>
        <v>modesg_out_bens_imoveisorigem_scp2_emss</v>
      </c>
      <c r="I521" s="2" t="s">
        <v>1931</v>
      </c>
      <c r="J521" s="43">
        <f>VLOOKUP(Table1[[#This Row],[Status]],Auxiliar!$B$16:$C$24,2,0)</f>
        <v>2</v>
      </c>
      <c r="K521" s="2" t="s">
        <v>1253</v>
      </c>
      <c r="L521" s="2" t="s">
        <v>1250</v>
      </c>
      <c r="M521" s="21" t="s">
        <v>1259</v>
      </c>
      <c r="N521" s="48">
        <v>45569</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1</v>
      </c>
      <c r="X521" s="2"/>
    </row>
    <row r="522" spans="2:24" ht="52.2" customHeight="1" x14ac:dyDescent="0.25">
      <c r="B522" s="2" t="s">
        <v>26</v>
      </c>
      <c r="C522" s="2" t="s">
        <v>311</v>
      </c>
      <c r="D522" s="2" t="s">
        <v>313</v>
      </c>
      <c r="E522" s="2" t="s">
        <v>38</v>
      </c>
      <c r="F522" s="2" t="s">
        <v>312</v>
      </c>
      <c r="G522" s="2" t="s">
        <v>321</v>
      </c>
      <c r="H522" s="57" t="str">
        <f>Table1[[#This Row],[Tabela]]&amp;Table1[[#This Row],[Campo]]</f>
        <v>modesg_out_bens_imoveisorigem_scp2_emss</v>
      </c>
      <c r="I522" s="2" t="s">
        <v>1931</v>
      </c>
      <c r="J522" s="43">
        <f>VLOOKUP(Table1[[#This Row],[Status]],Auxiliar!$B$16:$C$24,2,0)</f>
        <v>2</v>
      </c>
      <c r="K522" s="2" t="s">
        <v>1255</v>
      </c>
      <c r="L522" s="2" t="s">
        <v>1250</v>
      </c>
      <c r="M522" s="21" t="s">
        <v>1259</v>
      </c>
      <c r="N522" s="48">
        <v>45569</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0.05</v>
      </c>
      <c r="X522" s="2"/>
    </row>
    <row r="523" spans="2:24" ht="52.2" hidden="1" customHeight="1" x14ac:dyDescent="0.25">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x14ac:dyDescent="0.25">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x14ac:dyDescent="0.25">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x14ac:dyDescent="0.25">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x14ac:dyDescent="0.25">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x14ac:dyDescent="0.25">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customHeight="1" x14ac:dyDescent="0.25">
      <c r="B529" s="2" t="s">
        <v>26</v>
      </c>
      <c r="C529" s="2" t="s">
        <v>311</v>
      </c>
      <c r="D529" s="2" t="s">
        <v>313</v>
      </c>
      <c r="E529" s="2" t="s">
        <v>38</v>
      </c>
      <c r="F529" s="2" t="s">
        <v>312</v>
      </c>
      <c r="G529" s="2" t="s">
        <v>286</v>
      </c>
      <c r="H529" s="57" t="str">
        <f>Table1[[#This Row],[Tabela]]&amp;Table1[[#This Row],[Campo]]</f>
        <v>modesg_out_bens_imoveisscp1_emss</v>
      </c>
      <c r="I529" s="2" t="s">
        <v>1931</v>
      </c>
      <c r="J529" s="43">
        <f>VLOOKUP(Table1[[#This Row],[Status]],Auxiliar!$B$16:$C$24,2,0)</f>
        <v>2</v>
      </c>
      <c r="K529" s="2" t="s">
        <v>1252</v>
      </c>
      <c r="L529" s="2" t="s">
        <v>1250</v>
      </c>
      <c r="M529" s="21" t="s">
        <v>1260</v>
      </c>
      <c r="N529" s="48">
        <v>45569</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2</v>
      </c>
      <c r="X529" s="2"/>
    </row>
    <row r="530" spans="2:24" ht="69.599999999999994" customHeight="1" x14ac:dyDescent="0.25">
      <c r="B530" s="2" t="s">
        <v>26</v>
      </c>
      <c r="C530" s="2" t="s">
        <v>311</v>
      </c>
      <c r="D530" s="2" t="s">
        <v>313</v>
      </c>
      <c r="E530" s="2" t="s">
        <v>38</v>
      </c>
      <c r="F530" s="2" t="s">
        <v>312</v>
      </c>
      <c r="G530" s="2" t="s">
        <v>286</v>
      </c>
      <c r="H530" s="57" t="str">
        <f>Table1[[#This Row],[Tabela]]&amp;Table1[[#This Row],[Campo]]</f>
        <v>modesg_out_bens_imoveisscp1_emss</v>
      </c>
      <c r="I530" s="2" t="s">
        <v>1931</v>
      </c>
      <c r="J530" s="43">
        <f>VLOOKUP(Table1[[#This Row],[Status]],Auxiliar!$B$16:$C$24,2,0)</f>
        <v>2</v>
      </c>
      <c r="K530" s="2" t="s">
        <v>1253</v>
      </c>
      <c r="L530" s="2" t="s">
        <v>1250</v>
      </c>
      <c r="M530" s="21" t="s">
        <v>1260</v>
      </c>
      <c r="N530" s="48">
        <v>45569</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2</v>
      </c>
      <c r="X530" s="2"/>
    </row>
    <row r="531" spans="2:24" ht="69.599999999999994" customHeight="1" x14ac:dyDescent="0.25">
      <c r="B531" s="2" t="s">
        <v>26</v>
      </c>
      <c r="C531" s="2" t="s">
        <v>311</v>
      </c>
      <c r="D531" s="2" t="s">
        <v>313</v>
      </c>
      <c r="E531" s="2" t="s">
        <v>38</v>
      </c>
      <c r="F531" s="2" t="s">
        <v>312</v>
      </c>
      <c r="G531" s="2" t="s">
        <v>286</v>
      </c>
      <c r="H531" s="57" t="str">
        <f>Table1[[#This Row],[Tabela]]&amp;Table1[[#This Row],[Campo]]</f>
        <v>modesg_out_bens_imoveisscp1_emss</v>
      </c>
      <c r="I531" s="2" t="s">
        <v>1931</v>
      </c>
      <c r="J531" s="43">
        <f>VLOOKUP(Table1[[#This Row],[Status]],Auxiliar!$B$16:$C$24,2,0)</f>
        <v>2</v>
      </c>
      <c r="K531" s="2" t="s">
        <v>1255</v>
      </c>
      <c r="L531" s="2" t="s">
        <v>1250</v>
      </c>
      <c r="M531" s="21" t="s">
        <v>1260</v>
      </c>
      <c r="N531" s="48">
        <v>45569</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0.05</v>
      </c>
      <c r="X531" s="2"/>
    </row>
    <row r="532" spans="2:24" ht="69.599999999999994" customHeight="1" x14ac:dyDescent="0.25">
      <c r="B532" s="2" t="s">
        <v>26</v>
      </c>
      <c r="C532" s="2" t="s">
        <v>311</v>
      </c>
      <c r="D532" s="2" t="s">
        <v>313</v>
      </c>
      <c r="E532" s="2" t="s">
        <v>38</v>
      </c>
      <c r="F532" s="2" t="s">
        <v>312</v>
      </c>
      <c r="G532" s="2" t="s">
        <v>287</v>
      </c>
      <c r="H532" s="57" t="str">
        <f>Table1[[#This Row],[Tabela]]&amp;Table1[[#This Row],[Campo]]</f>
        <v>modesg_out_bens_imoveisscp2_emss</v>
      </c>
      <c r="I532" s="2" t="s">
        <v>1931</v>
      </c>
      <c r="J532" s="43">
        <f>VLOOKUP(Table1[[#This Row],[Status]],Auxiliar!$B$16:$C$24,2,0)</f>
        <v>2</v>
      </c>
      <c r="K532" s="2" t="s">
        <v>1252</v>
      </c>
      <c r="L532" s="2" t="s">
        <v>1250</v>
      </c>
      <c r="M532" s="21" t="s">
        <v>1260</v>
      </c>
      <c r="N532" s="48">
        <v>45569</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2</v>
      </c>
      <c r="X532" s="2"/>
    </row>
    <row r="533" spans="2:24" ht="69.599999999999994" customHeight="1" x14ac:dyDescent="0.25">
      <c r="B533" s="2" t="s">
        <v>26</v>
      </c>
      <c r="C533" s="2" t="s">
        <v>311</v>
      </c>
      <c r="D533" s="2" t="s">
        <v>313</v>
      </c>
      <c r="E533" s="2" t="s">
        <v>38</v>
      </c>
      <c r="F533" s="2" t="s">
        <v>312</v>
      </c>
      <c r="G533" s="2" t="s">
        <v>287</v>
      </c>
      <c r="H533" s="57" t="str">
        <f>Table1[[#This Row],[Tabela]]&amp;Table1[[#This Row],[Campo]]</f>
        <v>modesg_out_bens_imoveisscp2_emss</v>
      </c>
      <c r="I533" s="2" t="s">
        <v>1931</v>
      </c>
      <c r="J533" s="43">
        <f>VLOOKUP(Table1[[#This Row],[Status]],Auxiliar!$B$16:$C$24,2,0)</f>
        <v>2</v>
      </c>
      <c r="K533" s="2" t="s">
        <v>1253</v>
      </c>
      <c r="L533" s="2" t="s">
        <v>1250</v>
      </c>
      <c r="M533" s="21" t="s">
        <v>1260</v>
      </c>
      <c r="N533" s="48">
        <v>45569</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2</v>
      </c>
      <c r="X533" s="2"/>
    </row>
    <row r="534" spans="2:24" ht="69.599999999999994" customHeight="1" x14ac:dyDescent="0.25">
      <c r="B534" s="2" t="s">
        <v>26</v>
      </c>
      <c r="C534" s="2" t="s">
        <v>311</v>
      </c>
      <c r="D534" s="2" t="s">
        <v>313</v>
      </c>
      <c r="E534" s="2" t="s">
        <v>38</v>
      </c>
      <c r="F534" s="2" t="s">
        <v>312</v>
      </c>
      <c r="G534" s="2" t="s">
        <v>287</v>
      </c>
      <c r="H534" s="57" t="str">
        <f>Table1[[#This Row],[Tabela]]&amp;Table1[[#This Row],[Campo]]</f>
        <v>modesg_out_bens_imoveisscp2_emss</v>
      </c>
      <c r="I534" s="2" t="s">
        <v>1931</v>
      </c>
      <c r="J534" s="43">
        <f>VLOOKUP(Table1[[#This Row],[Status]],Auxiliar!$B$16:$C$24,2,0)</f>
        <v>2</v>
      </c>
      <c r="K534" s="2" t="s">
        <v>1255</v>
      </c>
      <c r="L534" s="2" t="s">
        <v>1250</v>
      </c>
      <c r="M534" s="21" t="s">
        <v>1260</v>
      </c>
      <c r="N534" s="48">
        <v>45569</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0.05</v>
      </c>
      <c r="X534" s="2"/>
    </row>
    <row r="535" spans="2:24" ht="17.7" hidden="1" customHeight="1" x14ac:dyDescent="0.25">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x14ac:dyDescent="0.25">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x14ac:dyDescent="0.25">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customHeight="1" x14ac:dyDescent="0.25">
      <c r="B538" s="2" t="s">
        <v>26</v>
      </c>
      <c r="C538" s="2" t="s">
        <v>311</v>
      </c>
      <c r="D538" s="2" t="s">
        <v>313</v>
      </c>
      <c r="E538" s="2" t="s">
        <v>38</v>
      </c>
      <c r="F538" s="2" t="s">
        <v>312</v>
      </c>
      <c r="G538" s="2" t="s">
        <v>323</v>
      </c>
      <c r="H538" s="57" t="str">
        <f>Table1[[#This Row],[Tabela]]&amp;Table1[[#This Row],[Campo]]</f>
        <v>modesg_out_bens_imoveisunidade_funcional_scp1_emss</v>
      </c>
      <c r="I538" s="2" t="s">
        <v>1931</v>
      </c>
      <c r="J538" s="43">
        <f>VLOOKUP(Table1[[#This Row],[Status]],Auxiliar!$B$16:$C$24,2,0)</f>
        <v>2</v>
      </c>
      <c r="K538" s="2" t="s">
        <v>1252</v>
      </c>
      <c r="L538" s="2" t="s">
        <v>1250</v>
      </c>
      <c r="M538" s="21" t="s">
        <v>1259</v>
      </c>
      <c r="N538" s="48">
        <v>45569</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1</v>
      </c>
      <c r="X538" s="2"/>
    </row>
    <row r="539" spans="2:24" ht="52.2" customHeight="1" x14ac:dyDescent="0.25">
      <c r="B539" s="2" t="s">
        <v>26</v>
      </c>
      <c r="C539" s="2" t="s">
        <v>311</v>
      </c>
      <c r="D539" s="2" t="s">
        <v>313</v>
      </c>
      <c r="E539" s="2" t="s">
        <v>38</v>
      </c>
      <c r="F539" s="2" t="s">
        <v>312</v>
      </c>
      <c r="G539" s="2" t="s">
        <v>323</v>
      </c>
      <c r="H539" s="57" t="str">
        <f>Table1[[#This Row],[Tabela]]&amp;Table1[[#This Row],[Campo]]</f>
        <v>modesg_out_bens_imoveisunidade_funcional_scp1_emss</v>
      </c>
      <c r="I539" s="2" t="s">
        <v>1931</v>
      </c>
      <c r="J539" s="43">
        <f>VLOOKUP(Table1[[#This Row],[Status]],Auxiliar!$B$16:$C$24,2,0)</f>
        <v>2</v>
      </c>
      <c r="K539" s="2" t="s">
        <v>1253</v>
      </c>
      <c r="L539" s="2" t="s">
        <v>1250</v>
      </c>
      <c r="M539" s="21" t="s">
        <v>1259</v>
      </c>
      <c r="N539" s="48">
        <v>45569</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1</v>
      </c>
      <c r="X539" s="2"/>
    </row>
    <row r="540" spans="2:24" ht="52.2" customHeight="1" x14ac:dyDescent="0.25">
      <c r="B540" s="2" t="s">
        <v>26</v>
      </c>
      <c r="C540" s="2" t="s">
        <v>311</v>
      </c>
      <c r="D540" s="2" t="s">
        <v>313</v>
      </c>
      <c r="E540" s="2" t="s">
        <v>38</v>
      </c>
      <c r="F540" s="2" t="s">
        <v>312</v>
      </c>
      <c r="G540" s="2" t="s">
        <v>323</v>
      </c>
      <c r="H540" s="57" t="str">
        <f>Table1[[#This Row],[Tabela]]&amp;Table1[[#This Row],[Campo]]</f>
        <v>modesg_out_bens_imoveisunidade_funcional_scp1_emss</v>
      </c>
      <c r="I540" s="2" t="s">
        <v>1931</v>
      </c>
      <c r="J540" s="43">
        <f>VLOOKUP(Table1[[#This Row],[Status]],Auxiliar!$B$16:$C$24,2,0)</f>
        <v>2</v>
      </c>
      <c r="K540" s="2" t="s">
        <v>1255</v>
      </c>
      <c r="L540" s="2" t="s">
        <v>1250</v>
      </c>
      <c r="M540" s="21" t="s">
        <v>1259</v>
      </c>
      <c r="N540" s="48">
        <v>45569</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0.05</v>
      </c>
      <c r="X540" s="2"/>
    </row>
    <row r="541" spans="2:24" ht="52.2" customHeight="1" x14ac:dyDescent="0.25">
      <c r="B541" s="2" t="s">
        <v>26</v>
      </c>
      <c r="C541" s="2" t="s">
        <v>311</v>
      </c>
      <c r="D541" s="2" t="s">
        <v>313</v>
      </c>
      <c r="E541" s="2" t="s">
        <v>38</v>
      </c>
      <c r="F541" s="2" t="s">
        <v>312</v>
      </c>
      <c r="G541" s="2" t="s">
        <v>324</v>
      </c>
      <c r="H541" s="57" t="str">
        <f>Table1[[#This Row],[Tabela]]&amp;Table1[[#This Row],[Campo]]</f>
        <v>modesg_out_bens_imoveisunidade_funcional_scp2_emss</v>
      </c>
      <c r="I541" s="2" t="s">
        <v>1931</v>
      </c>
      <c r="J541" s="43">
        <f>VLOOKUP(Table1[[#This Row],[Status]],Auxiliar!$B$16:$C$24,2,0)</f>
        <v>2</v>
      </c>
      <c r="K541" s="2" t="s">
        <v>1252</v>
      </c>
      <c r="L541" s="2" t="s">
        <v>1250</v>
      </c>
      <c r="M541" s="21" t="s">
        <v>1259</v>
      </c>
      <c r="N541" s="48">
        <v>45569</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1</v>
      </c>
      <c r="X541" s="2"/>
    </row>
    <row r="542" spans="2:24" ht="52.2" customHeight="1" x14ac:dyDescent="0.25">
      <c r="B542" s="2" t="s">
        <v>26</v>
      </c>
      <c r="C542" s="2" t="s">
        <v>311</v>
      </c>
      <c r="D542" s="2" t="s">
        <v>313</v>
      </c>
      <c r="E542" s="2" t="s">
        <v>38</v>
      </c>
      <c r="F542" s="2" t="s">
        <v>312</v>
      </c>
      <c r="G542" s="2" t="s">
        <v>324</v>
      </c>
      <c r="H542" s="57" t="str">
        <f>Table1[[#This Row],[Tabela]]&amp;Table1[[#This Row],[Campo]]</f>
        <v>modesg_out_bens_imoveisunidade_funcional_scp2_emss</v>
      </c>
      <c r="I542" s="2" t="s">
        <v>1931</v>
      </c>
      <c r="J542" s="43">
        <f>VLOOKUP(Table1[[#This Row],[Status]],Auxiliar!$B$16:$C$24,2,0)</f>
        <v>2</v>
      </c>
      <c r="K542" s="2" t="s">
        <v>1253</v>
      </c>
      <c r="L542" s="2" t="s">
        <v>1250</v>
      </c>
      <c r="M542" s="21" t="s">
        <v>1259</v>
      </c>
      <c r="N542" s="48">
        <v>45569</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1</v>
      </c>
      <c r="X542" s="2"/>
    </row>
    <row r="543" spans="2:24" ht="52.2" customHeight="1" x14ac:dyDescent="0.25">
      <c r="B543" s="2" t="s">
        <v>26</v>
      </c>
      <c r="C543" s="2" t="s">
        <v>311</v>
      </c>
      <c r="D543" s="2" t="s">
        <v>313</v>
      </c>
      <c r="E543" s="2" t="s">
        <v>38</v>
      </c>
      <c r="F543" s="2" t="s">
        <v>312</v>
      </c>
      <c r="G543" s="2" t="s">
        <v>324</v>
      </c>
      <c r="H543" s="57" t="str">
        <f>Table1[[#This Row],[Tabela]]&amp;Table1[[#This Row],[Campo]]</f>
        <v>modesg_out_bens_imoveisunidade_funcional_scp2_emss</v>
      </c>
      <c r="I543" s="2" t="s">
        <v>1931</v>
      </c>
      <c r="J543" s="43">
        <f>VLOOKUP(Table1[[#This Row],[Status]],Auxiliar!$B$16:$C$24,2,0)</f>
        <v>2</v>
      </c>
      <c r="K543" s="2" t="s">
        <v>1255</v>
      </c>
      <c r="L543" s="2" t="s">
        <v>1250</v>
      </c>
      <c r="M543" s="21" t="s">
        <v>1259</v>
      </c>
      <c r="N543" s="48">
        <v>45569</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0.05</v>
      </c>
      <c r="X543" s="2"/>
    </row>
    <row r="544" spans="2:24" ht="52.2" hidden="1" customHeight="1" x14ac:dyDescent="0.25">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x14ac:dyDescent="0.25">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x14ac:dyDescent="0.25">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x14ac:dyDescent="0.25">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x14ac:dyDescent="0.25">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x14ac:dyDescent="0.25">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x14ac:dyDescent="0.25">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x14ac:dyDescent="0.25">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x14ac:dyDescent="0.25">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x14ac:dyDescent="0.25">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x14ac:dyDescent="0.25">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x14ac:dyDescent="0.25">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x14ac:dyDescent="0.25">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x14ac:dyDescent="0.25">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x14ac:dyDescent="0.25">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x14ac:dyDescent="0.25">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x14ac:dyDescent="0.25">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x14ac:dyDescent="0.25">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x14ac:dyDescent="0.25">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x14ac:dyDescent="0.25">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x14ac:dyDescent="0.25">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x14ac:dyDescent="0.25">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x14ac:dyDescent="0.25">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x14ac:dyDescent="0.25">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x14ac:dyDescent="0.25">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x14ac:dyDescent="0.25">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x14ac:dyDescent="0.25">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x14ac:dyDescent="0.25">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x14ac:dyDescent="0.25">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x14ac:dyDescent="0.25">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x14ac:dyDescent="0.25">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x14ac:dyDescent="0.25">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x14ac:dyDescent="0.25">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x14ac:dyDescent="0.25">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x14ac:dyDescent="0.25">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x14ac:dyDescent="0.25">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x14ac:dyDescent="0.25">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x14ac:dyDescent="0.25">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x14ac:dyDescent="0.25">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x14ac:dyDescent="0.25">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x14ac:dyDescent="0.25">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x14ac:dyDescent="0.25">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x14ac:dyDescent="0.25">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x14ac:dyDescent="0.25">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x14ac:dyDescent="0.25">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x14ac:dyDescent="0.25">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x14ac:dyDescent="0.25">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8"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x14ac:dyDescent="0.25">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8"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x14ac:dyDescent="0.25">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8"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x14ac:dyDescent="0.3">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x14ac:dyDescent="0.3">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x14ac:dyDescent="0.3">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x14ac:dyDescent="0.3">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x14ac:dyDescent="0.3">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x14ac:dyDescent="0.3">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x14ac:dyDescent="0.25">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x14ac:dyDescent="0.25">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x14ac:dyDescent="0.25">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x14ac:dyDescent="0.25">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x14ac:dyDescent="0.25">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x14ac:dyDescent="0.25">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x14ac:dyDescent="0.25">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x14ac:dyDescent="0.25">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x14ac:dyDescent="0.25">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x14ac:dyDescent="0.3">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x14ac:dyDescent="0.3">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x14ac:dyDescent="0.3">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x14ac:dyDescent="0.3">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x14ac:dyDescent="0.3">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x14ac:dyDescent="0.3">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x14ac:dyDescent="0.25">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x14ac:dyDescent="0.25">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x14ac:dyDescent="0.25">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x14ac:dyDescent="0.25">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x14ac:dyDescent="0.25">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x14ac:dyDescent="0.25">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x14ac:dyDescent="0.25">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x14ac:dyDescent="0.25">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x14ac:dyDescent="0.25">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x14ac:dyDescent="0.25">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x14ac:dyDescent="0.25">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x14ac:dyDescent="0.25">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x14ac:dyDescent="0.25">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x14ac:dyDescent="0.25">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x14ac:dyDescent="0.25">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x14ac:dyDescent="0.25">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x14ac:dyDescent="0.25">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x14ac:dyDescent="0.25">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x14ac:dyDescent="0.25">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x14ac:dyDescent="0.25">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x14ac:dyDescent="0.25">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x14ac:dyDescent="0.25">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x14ac:dyDescent="0.25">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x14ac:dyDescent="0.25">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x14ac:dyDescent="0.25">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x14ac:dyDescent="0.25">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x14ac:dyDescent="0.25">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x14ac:dyDescent="0.25">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x14ac:dyDescent="0.25">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x14ac:dyDescent="0.25">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x14ac:dyDescent="0.25">
      <c r="B644" s="2" t="s">
        <v>26</v>
      </c>
      <c r="C644" s="2" t="s">
        <v>311</v>
      </c>
      <c r="D644" s="2" t="s">
        <v>333</v>
      </c>
      <c r="E644" s="2" t="s">
        <v>38</v>
      </c>
      <c r="F644" s="2" t="s">
        <v>332</v>
      </c>
      <c r="G644" s="2" t="s">
        <v>38</v>
      </c>
      <c r="H644" s="57" t="str">
        <f>Table1[[#This Row],[Tabela]]&amp;Table1[[#This Row],[Campo]]</f>
        <v>modesg_out_emss_vclsn.a.</v>
      </c>
      <c r="I644" s="2" t="s">
        <v>619</v>
      </c>
      <c r="J644" s="43">
        <f>VLOOKUP(Table1[[#This Row],[Status]],Auxiliar!$B$16:$C$24,2,0)</f>
        <v>7</v>
      </c>
      <c r="K644" s="2" t="s">
        <v>1249</v>
      </c>
      <c r="L644" s="29" t="s">
        <v>1258</v>
      </c>
      <c r="M644" s="21" t="s">
        <v>1259</v>
      </c>
      <c r="N644" s="48">
        <v>45561</v>
      </c>
      <c r="O644" s="21">
        <f>INDEX(Auxiliar!$D$5:$F$13,MATCH(Table1[[#This Row],[Tipologia_Testes]],Auxiliar!$B$5:$B$13,0),MATCH(Table1[[#This Row],[Complexidade]],Auxiliar!$D$4:$F$4,0))</f>
        <v>8</v>
      </c>
      <c r="P644" s="23" t="s">
        <v>1286</v>
      </c>
      <c r="Q644" s="2"/>
      <c r="R644" s="152">
        <v>45560</v>
      </c>
      <c r="S644" s="152"/>
      <c r="T644" s="152">
        <v>45560</v>
      </c>
      <c r="U644" s="152">
        <v>45607</v>
      </c>
      <c r="V644" s="152"/>
      <c r="W644" s="2">
        <f>VLOOKUP(Table1[[#This Row],[Status]],Auxiliar!$B$16:$D$24,3,0)*Table1[[#This Row],[Estimação (horas)]]</f>
        <v>2</v>
      </c>
      <c r="X644" s="2"/>
    </row>
    <row r="645" spans="2:24" ht="17.7" hidden="1" customHeight="1" x14ac:dyDescent="0.25">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x14ac:dyDescent="0.25">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x14ac:dyDescent="0.25">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x14ac:dyDescent="0.25">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x14ac:dyDescent="0.25">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x14ac:dyDescent="0.25">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x14ac:dyDescent="0.25">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x14ac:dyDescent="0.25">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x14ac:dyDescent="0.25">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x14ac:dyDescent="0.25">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x14ac:dyDescent="0.25">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x14ac:dyDescent="0.25">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x14ac:dyDescent="0.25">
      <c r="B657" s="2" t="s">
        <v>26</v>
      </c>
      <c r="C657" s="2" t="s">
        <v>311</v>
      </c>
      <c r="D657" s="2" t="s">
        <v>333</v>
      </c>
      <c r="E657" s="2" t="s">
        <v>38</v>
      </c>
      <c r="F657" s="2" t="s">
        <v>332</v>
      </c>
      <c r="G657" s="2" t="s">
        <v>188</v>
      </c>
      <c r="H657" s="57" t="str">
        <f>Table1[[#This Row],[Tabela]]&amp;Table1[[#This Row],[Campo]]</f>
        <v>modesg_out_emss_vclscnsm_co2</v>
      </c>
      <c r="I657" s="2" t="s">
        <v>619</v>
      </c>
      <c r="J657" s="43">
        <f>VLOOKUP(Table1[[#This Row],[Status]],Auxiliar!$B$16:$C$24,2,0)</f>
        <v>7</v>
      </c>
      <c r="K657" s="2" t="s">
        <v>1252</v>
      </c>
      <c r="L657" s="2" t="s">
        <v>1250</v>
      </c>
      <c r="M657" s="21" t="s">
        <v>1260</v>
      </c>
      <c r="N657" s="48">
        <v>45561</v>
      </c>
      <c r="O657" s="21">
        <f>INDEX(Auxiliar!$D$5:$F$13,MATCH(Table1[[#This Row],[Tipologia_Testes]],Auxiliar!$B$5:$B$13,0),MATCH(Table1[[#This Row],[Complexidade]],Auxiliar!$D$4:$F$4,0))</f>
        <v>4</v>
      </c>
      <c r="P657" s="2" t="s">
        <v>1287</v>
      </c>
      <c r="Q657" s="2"/>
      <c r="R657" s="152">
        <v>45559</v>
      </c>
      <c r="S657" s="152"/>
      <c r="T657" s="152">
        <v>45559</v>
      </c>
      <c r="U657" s="152">
        <v>45607</v>
      </c>
      <c r="V657" s="152"/>
      <c r="W657" s="2">
        <f>VLOOKUP(Table1[[#This Row],[Status]],Auxiliar!$B$16:$D$24,3,0)*Table1[[#This Row],[Estimação (horas)]]</f>
        <v>1</v>
      </c>
      <c r="X657" s="2"/>
    </row>
    <row r="658" spans="2:24" ht="17.7" hidden="1" customHeight="1" x14ac:dyDescent="0.25">
      <c r="B658" s="2" t="s">
        <v>26</v>
      </c>
      <c r="C658" s="2" t="s">
        <v>311</v>
      </c>
      <c r="D658" s="2" t="s">
        <v>333</v>
      </c>
      <c r="E658" s="2" t="s">
        <v>38</v>
      </c>
      <c r="F658" s="2" t="s">
        <v>332</v>
      </c>
      <c r="G658" s="2" t="s">
        <v>188</v>
      </c>
      <c r="H658" s="57" t="str">
        <f>Table1[[#This Row],[Tabela]]&amp;Table1[[#This Row],[Campo]]</f>
        <v>modesg_out_emss_vclscnsm_co2</v>
      </c>
      <c r="I658" s="2" t="s">
        <v>619</v>
      </c>
      <c r="J658" s="43">
        <f>VLOOKUP(Table1[[#This Row],[Status]],Auxiliar!$B$16:$C$24,2,0)</f>
        <v>7</v>
      </c>
      <c r="K658" s="2" t="s">
        <v>1253</v>
      </c>
      <c r="L658" s="2" t="s">
        <v>1250</v>
      </c>
      <c r="M658" s="21" t="s">
        <v>1260</v>
      </c>
      <c r="N658" s="48">
        <v>45561</v>
      </c>
      <c r="O658" s="21">
        <f>INDEX(Auxiliar!$D$5:$F$13,MATCH(Table1[[#This Row],[Tipologia_Testes]],Auxiliar!$B$5:$B$13,0),MATCH(Table1[[#This Row],[Complexidade]],Auxiliar!$D$4:$F$4,0))</f>
        <v>4</v>
      </c>
      <c r="P658" s="2" t="s">
        <v>1287</v>
      </c>
      <c r="Q658" s="2"/>
      <c r="R658" s="152">
        <v>45559</v>
      </c>
      <c r="S658" s="152"/>
      <c r="T658" s="152">
        <v>45559</v>
      </c>
      <c r="U658" s="152">
        <v>45607</v>
      </c>
      <c r="V658" s="152"/>
      <c r="W658" s="2">
        <f>VLOOKUP(Table1[[#This Row],[Status]],Auxiliar!$B$16:$D$24,3,0)*Table1[[#This Row],[Estimação (horas)]]</f>
        <v>1</v>
      </c>
      <c r="X658" s="2"/>
    </row>
    <row r="659" spans="2:24" ht="17.7" hidden="1" customHeight="1" x14ac:dyDescent="0.25">
      <c r="B659" s="2" t="s">
        <v>26</v>
      </c>
      <c r="C659" s="2" t="s">
        <v>311</v>
      </c>
      <c r="D659" s="2" t="s">
        <v>333</v>
      </c>
      <c r="E659" s="2" t="s">
        <v>38</v>
      </c>
      <c r="F659" s="2" t="s">
        <v>332</v>
      </c>
      <c r="G659" s="2" t="s">
        <v>188</v>
      </c>
      <c r="H659" s="57" t="str">
        <f>Table1[[#This Row],[Tabela]]&amp;Table1[[#This Row],[Campo]]</f>
        <v>modesg_out_emss_vclscnsm_co2</v>
      </c>
      <c r="I659" s="2" t="s">
        <v>619</v>
      </c>
      <c r="J659" s="43">
        <f>VLOOKUP(Table1[[#This Row],[Status]],Auxiliar!$B$16:$C$24,2,0)</f>
        <v>7</v>
      </c>
      <c r="K659" s="2" t="s">
        <v>1255</v>
      </c>
      <c r="L659" s="2" t="s">
        <v>1250</v>
      </c>
      <c r="M659" s="21" t="s">
        <v>1260</v>
      </c>
      <c r="N659" s="48">
        <v>45561</v>
      </c>
      <c r="O659" s="21">
        <f>INDEX(Auxiliar!$D$5:$F$13,MATCH(Table1[[#This Row],[Tipologia_Testes]],Auxiliar!$B$5:$B$13,0),MATCH(Table1[[#This Row],[Complexidade]],Auxiliar!$D$4:$F$4,0))</f>
        <v>0.1</v>
      </c>
      <c r="P659" s="2" t="s">
        <v>1287</v>
      </c>
      <c r="Q659" s="2"/>
      <c r="R659" s="152">
        <v>45559</v>
      </c>
      <c r="S659" s="152"/>
      <c r="T659" s="152">
        <v>45559</v>
      </c>
      <c r="U659" s="152">
        <v>45607</v>
      </c>
      <c r="V659" s="152"/>
      <c r="W659" s="2">
        <f>VLOOKUP(Table1[[#This Row],[Status]],Auxiliar!$B$16:$D$24,3,0)*Table1[[#This Row],[Estimação (horas)]]</f>
        <v>2.5000000000000001E-2</v>
      </c>
      <c r="X659" s="2"/>
    </row>
    <row r="660" spans="2:24" ht="17.7" hidden="1" customHeight="1" x14ac:dyDescent="0.25">
      <c r="B660" s="2" t="s">
        <v>26</v>
      </c>
      <c r="C660" s="2" t="s">
        <v>311</v>
      </c>
      <c r="D660" s="2" t="s">
        <v>333</v>
      </c>
      <c r="E660" s="2" t="s">
        <v>38</v>
      </c>
      <c r="F660" s="2" t="s">
        <v>332</v>
      </c>
      <c r="G660" s="2" t="s">
        <v>320</v>
      </c>
      <c r="H660" s="57" t="str">
        <f>Table1[[#This Row],[Tabela]]&amp;Table1[[#This Row],[Campo]]</f>
        <v>modesg_out_emss_vclsorigem_scp1_emss</v>
      </c>
      <c r="I660" s="2" t="s">
        <v>619</v>
      </c>
      <c r="J660" s="43">
        <f>VLOOKUP(Table1[[#This Row],[Status]],Auxiliar!$B$16:$C$24,2,0)</f>
        <v>7</v>
      </c>
      <c r="K660" s="2" t="s">
        <v>1252</v>
      </c>
      <c r="L660" s="2" t="s">
        <v>1250</v>
      </c>
      <c r="M660" s="21" t="s">
        <v>1260</v>
      </c>
      <c r="N660" s="48">
        <v>45575</v>
      </c>
      <c r="O660" s="21">
        <f>INDEX(Auxiliar!$D$5:$F$13,MATCH(Table1[[#This Row],[Tipologia_Testes]],Auxiliar!$B$5:$B$13,0),MATCH(Table1[[#This Row],[Complexidade]],Auxiliar!$D$4:$F$4,0))</f>
        <v>4</v>
      </c>
      <c r="P660" s="2" t="s">
        <v>1288</v>
      </c>
      <c r="Q660" s="2"/>
      <c r="R660" s="152">
        <v>45566</v>
      </c>
      <c r="S660" s="152"/>
      <c r="T660" s="152">
        <v>45569</v>
      </c>
      <c r="U660" s="152">
        <v>45607</v>
      </c>
      <c r="V660" s="152"/>
      <c r="W660" s="2">
        <f>VLOOKUP(Table1[[#This Row],[Status]],Auxiliar!$B$16:$D$24,3,0)*Table1[[#This Row],[Estimação (horas)]]</f>
        <v>1</v>
      </c>
      <c r="X660" s="2"/>
    </row>
    <row r="661" spans="2:24" ht="17.7" hidden="1" customHeight="1" x14ac:dyDescent="0.25">
      <c r="B661" s="2" t="s">
        <v>26</v>
      </c>
      <c r="C661" s="2" t="s">
        <v>311</v>
      </c>
      <c r="D661" s="2" t="s">
        <v>333</v>
      </c>
      <c r="E661" s="2" t="s">
        <v>38</v>
      </c>
      <c r="F661" s="2" t="s">
        <v>332</v>
      </c>
      <c r="G661" s="2" t="s">
        <v>320</v>
      </c>
      <c r="H661" s="57" t="str">
        <f>Table1[[#This Row],[Tabela]]&amp;Table1[[#This Row],[Campo]]</f>
        <v>modesg_out_emss_vclsorigem_scp1_emss</v>
      </c>
      <c r="I661" s="2" t="s">
        <v>619</v>
      </c>
      <c r="J661" s="43">
        <f>VLOOKUP(Table1[[#This Row],[Status]],Auxiliar!$B$16:$C$24,2,0)</f>
        <v>7</v>
      </c>
      <c r="K661" s="2" t="s">
        <v>1253</v>
      </c>
      <c r="L661" s="2" t="s">
        <v>1250</v>
      </c>
      <c r="M661" s="21" t="s">
        <v>1260</v>
      </c>
      <c r="N661" s="48">
        <v>45575</v>
      </c>
      <c r="O661" s="21">
        <f>INDEX(Auxiliar!$D$5:$F$13,MATCH(Table1[[#This Row],[Tipologia_Testes]],Auxiliar!$B$5:$B$13,0),MATCH(Table1[[#This Row],[Complexidade]],Auxiliar!$D$4:$F$4,0))</f>
        <v>4</v>
      </c>
      <c r="P661" s="2" t="s">
        <v>1288</v>
      </c>
      <c r="Q661" s="2"/>
      <c r="R661" s="152">
        <v>45566</v>
      </c>
      <c r="S661" s="152"/>
      <c r="T661" s="152">
        <v>45569</v>
      </c>
      <c r="U661" s="152">
        <v>45607</v>
      </c>
      <c r="V661" s="152"/>
      <c r="W661" s="2">
        <f>VLOOKUP(Table1[[#This Row],[Status]],Auxiliar!$B$16:$D$24,3,0)*Table1[[#This Row],[Estimação (horas)]]</f>
        <v>1</v>
      </c>
      <c r="X661" s="2"/>
    </row>
    <row r="662" spans="2:24" ht="17.7" hidden="1" customHeight="1" x14ac:dyDescent="0.25">
      <c r="B662" s="2" t="s">
        <v>26</v>
      </c>
      <c r="C662" s="2" t="s">
        <v>311</v>
      </c>
      <c r="D662" s="2" t="s">
        <v>333</v>
      </c>
      <c r="E662" s="2" t="s">
        <v>38</v>
      </c>
      <c r="F662" s="2" t="s">
        <v>332</v>
      </c>
      <c r="G662" s="2" t="s">
        <v>320</v>
      </c>
      <c r="H662" s="57" t="str">
        <f>Table1[[#This Row],[Tabela]]&amp;Table1[[#This Row],[Campo]]</f>
        <v>modesg_out_emss_vclsorigem_scp1_emss</v>
      </c>
      <c r="I662" s="2" t="s">
        <v>619</v>
      </c>
      <c r="J662" s="43">
        <f>VLOOKUP(Table1[[#This Row],[Status]],Auxiliar!$B$16:$C$24,2,0)</f>
        <v>7</v>
      </c>
      <c r="K662" s="2" t="s">
        <v>1255</v>
      </c>
      <c r="L662" s="2" t="s">
        <v>1250</v>
      </c>
      <c r="M662" s="21" t="s">
        <v>1260</v>
      </c>
      <c r="N662" s="48">
        <v>45575</v>
      </c>
      <c r="O662" s="21">
        <f>INDEX(Auxiliar!$D$5:$F$13,MATCH(Table1[[#This Row],[Tipologia_Testes]],Auxiliar!$B$5:$B$13,0),MATCH(Table1[[#This Row],[Complexidade]],Auxiliar!$D$4:$F$4,0))</f>
        <v>0.1</v>
      </c>
      <c r="P662" s="2" t="s">
        <v>1288</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x14ac:dyDescent="0.25">
      <c r="B663" s="2" t="s">
        <v>26</v>
      </c>
      <c r="C663" s="2" t="s">
        <v>311</v>
      </c>
      <c r="D663" s="2" t="s">
        <v>333</v>
      </c>
      <c r="E663" s="2" t="s">
        <v>38</v>
      </c>
      <c r="F663" s="2" t="s">
        <v>332</v>
      </c>
      <c r="G663" s="2" t="s">
        <v>321</v>
      </c>
      <c r="H663" s="57" t="str">
        <f>Table1[[#This Row],[Tabela]]&amp;Table1[[#This Row],[Campo]]</f>
        <v>modesg_out_emss_vclsorigem_scp2_emss</v>
      </c>
      <c r="I663" s="2" t="s">
        <v>619</v>
      </c>
      <c r="J663" s="43">
        <f>VLOOKUP(Table1[[#This Row],[Status]],Auxiliar!$B$16:$C$24,2,0)</f>
        <v>7</v>
      </c>
      <c r="K663" s="2" t="s">
        <v>1252</v>
      </c>
      <c r="L663" s="2" t="s">
        <v>1250</v>
      </c>
      <c r="M663" s="21" t="s">
        <v>1260</v>
      </c>
      <c r="N663" s="48">
        <v>45575</v>
      </c>
      <c r="O663" s="21">
        <f>INDEX(Auxiliar!$D$5:$F$13,MATCH(Table1[[#This Row],[Tipologia_Testes]],Auxiliar!$B$5:$B$13,0),MATCH(Table1[[#This Row],[Complexidade]],Auxiliar!$D$4:$F$4,0))</f>
        <v>4</v>
      </c>
      <c r="P663" s="2" t="s">
        <v>1289</v>
      </c>
      <c r="Q663" s="2"/>
      <c r="R663" s="152">
        <v>45566</v>
      </c>
      <c r="S663" s="152"/>
      <c r="T663" s="152">
        <v>45569</v>
      </c>
      <c r="U663" s="152">
        <v>45607</v>
      </c>
      <c r="V663" s="152"/>
      <c r="W663" s="2">
        <f>VLOOKUP(Table1[[#This Row],[Status]],Auxiliar!$B$16:$D$24,3,0)*Table1[[#This Row],[Estimação (horas)]]</f>
        <v>1</v>
      </c>
      <c r="X663" s="2"/>
    </row>
    <row r="664" spans="2:24" ht="17.7" hidden="1" customHeight="1" x14ac:dyDescent="0.25">
      <c r="B664" s="2" t="s">
        <v>26</v>
      </c>
      <c r="C664" s="2" t="s">
        <v>311</v>
      </c>
      <c r="D664" s="2" t="s">
        <v>333</v>
      </c>
      <c r="E664" s="2" t="s">
        <v>38</v>
      </c>
      <c r="F664" s="2" t="s">
        <v>332</v>
      </c>
      <c r="G664" s="2" t="s">
        <v>321</v>
      </c>
      <c r="H664" s="57" t="str">
        <f>Table1[[#This Row],[Tabela]]&amp;Table1[[#This Row],[Campo]]</f>
        <v>modesg_out_emss_vclsorigem_scp2_emss</v>
      </c>
      <c r="I664" s="2" t="s">
        <v>619</v>
      </c>
      <c r="J664" s="43">
        <f>VLOOKUP(Table1[[#This Row],[Status]],Auxiliar!$B$16:$C$24,2,0)</f>
        <v>7</v>
      </c>
      <c r="K664" s="2" t="s">
        <v>1253</v>
      </c>
      <c r="L664" s="2" t="s">
        <v>1250</v>
      </c>
      <c r="M664" s="21" t="s">
        <v>1260</v>
      </c>
      <c r="N664" s="48">
        <v>45575</v>
      </c>
      <c r="O664" s="21">
        <f>INDEX(Auxiliar!$D$5:$F$13,MATCH(Table1[[#This Row],[Tipologia_Testes]],Auxiliar!$B$5:$B$13,0),MATCH(Table1[[#This Row],[Complexidade]],Auxiliar!$D$4:$F$4,0))</f>
        <v>4</v>
      </c>
      <c r="P664" s="2" t="s">
        <v>1289</v>
      </c>
      <c r="Q664" s="2"/>
      <c r="R664" s="152">
        <v>45566</v>
      </c>
      <c r="S664" s="152"/>
      <c r="T664" s="152">
        <v>45569</v>
      </c>
      <c r="U664" s="152">
        <v>45607</v>
      </c>
      <c r="V664" s="152"/>
      <c r="W664" s="2">
        <f>VLOOKUP(Table1[[#This Row],[Status]],Auxiliar!$B$16:$D$24,3,0)*Table1[[#This Row],[Estimação (horas)]]</f>
        <v>1</v>
      </c>
      <c r="X664" s="2"/>
    </row>
    <row r="665" spans="2:24" ht="17.7" hidden="1" customHeight="1" x14ac:dyDescent="0.25">
      <c r="B665" s="2" t="s">
        <v>26</v>
      </c>
      <c r="C665" s="2" t="s">
        <v>311</v>
      </c>
      <c r="D665" s="2" t="s">
        <v>333</v>
      </c>
      <c r="E665" s="2" t="s">
        <v>38</v>
      </c>
      <c r="F665" s="2" t="s">
        <v>332</v>
      </c>
      <c r="G665" s="2" t="s">
        <v>321</v>
      </c>
      <c r="H665" s="57" t="str">
        <f>Table1[[#This Row],[Tabela]]&amp;Table1[[#This Row],[Campo]]</f>
        <v>modesg_out_emss_vclsorigem_scp2_emss</v>
      </c>
      <c r="I665" s="2" t="s">
        <v>619</v>
      </c>
      <c r="J665" s="43">
        <f>VLOOKUP(Table1[[#This Row],[Status]],Auxiliar!$B$16:$C$24,2,0)</f>
        <v>7</v>
      </c>
      <c r="K665" s="2" t="s">
        <v>1255</v>
      </c>
      <c r="L665" s="2" t="s">
        <v>1250</v>
      </c>
      <c r="M665" s="21" t="s">
        <v>1260</v>
      </c>
      <c r="N665" s="48">
        <v>45575</v>
      </c>
      <c r="O665" s="21">
        <f>INDEX(Auxiliar!$D$5:$F$13,MATCH(Table1[[#This Row],[Tipologia_Testes]],Auxiliar!$B$5:$B$13,0),MATCH(Table1[[#This Row],[Complexidade]],Auxiliar!$D$4:$F$4,0))</f>
        <v>0.1</v>
      </c>
      <c r="P665" s="2" t="s">
        <v>1289</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x14ac:dyDescent="0.25">
      <c r="B666" s="2" t="s">
        <v>26</v>
      </c>
      <c r="C666" s="2" t="s">
        <v>311</v>
      </c>
      <c r="D666" s="2" t="s">
        <v>333</v>
      </c>
      <c r="E666" s="2" t="s">
        <v>38</v>
      </c>
      <c r="F666" s="2" t="s">
        <v>332</v>
      </c>
      <c r="G666" s="2" t="s">
        <v>322</v>
      </c>
      <c r="H666" s="57" t="str">
        <f>Table1[[#This Row],[Tabela]]&amp;Table1[[#This Row],[Campo]]</f>
        <v>modesg_out_emss_vclsorigem_scp3_emss</v>
      </c>
      <c r="I666" s="2" t="s">
        <v>619</v>
      </c>
      <c r="J666" s="43">
        <f>VLOOKUP(Table1[[#This Row],[Status]],Auxiliar!$B$16:$C$24,2,0)</f>
        <v>7</v>
      </c>
      <c r="K666" s="2" t="s">
        <v>1252</v>
      </c>
      <c r="L666" s="2" t="s">
        <v>1250</v>
      </c>
      <c r="M666" s="21" t="s">
        <v>1260</v>
      </c>
      <c r="N666" s="48">
        <v>45575</v>
      </c>
      <c r="O666" s="21">
        <f>INDEX(Auxiliar!$D$5:$F$13,MATCH(Table1[[#This Row],[Tipologia_Testes]],Auxiliar!$B$5:$B$13,0),MATCH(Table1[[#This Row],[Complexidade]],Auxiliar!$D$4:$F$4,0))</f>
        <v>4</v>
      </c>
      <c r="P666" s="2" t="s">
        <v>1290</v>
      </c>
      <c r="Q666" s="2"/>
      <c r="R666" s="152">
        <v>45566</v>
      </c>
      <c r="S666" s="152"/>
      <c r="T666" s="152">
        <v>45569</v>
      </c>
      <c r="U666" s="152">
        <v>45607</v>
      </c>
      <c r="V666" s="152"/>
      <c r="W666" s="2">
        <f>VLOOKUP(Table1[[#This Row],[Status]],Auxiliar!$B$16:$D$24,3,0)*Table1[[#This Row],[Estimação (horas)]]</f>
        <v>1</v>
      </c>
      <c r="X666" s="2"/>
    </row>
    <row r="667" spans="2:24" ht="17.7" hidden="1" customHeight="1" x14ac:dyDescent="0.25">
      <c r="B667" s="2" t="s">
        <v>26</v>
      </c>
      <c r="C667" s="2" t="s">
        <v>311</v>
      </c>
      <c r="D667" s="2" t="s">
        <v>333</v>
      </c>
      <c r="E667" s="2" t="s">
        <v>38</v>
      </c>
      <c r="F667" s="2" t="s">
        <v>332</v>
      </c>
      <c r="G667" s="2" t="s">
        <v>322</v>
      </c>
      <c r="H667" s="57" t="str">
        <f>Table1[[#This Row],[Tabela]]&amp;Table1[[#This Row],[Campo]]</f>
        <v>modesg_out_emss_vclsorigem_scp3_emss</v>
      </c>
      <c r="I667" s="2" t="s">
        <v>619</v>
      </c>
      <c r="J667" s="43">
        <f>VLOOKUP(Table1[[#This Row],[Status]],Auxiliar!$B$16:$C$24,2,0)</f>
        <v>7</v>
      </c>
      <c r="K667" s="2" t="s">
        <v>1253</v>
      </c>
      <c r="L667" s="2" t="s">
        <v>1250</v>
      </c>
      <c r="M667" s="21" t="s">
        <v>1260</v>
      </c>
      <c r="N667" s="48">
        <v>45575</v>
      </c>
      <c r="O667" s="21">
        <f>INDEX(Auxiliar!$D$5:$F$13,MATCH(Table1[[#This Row],[Tipologia_Testes]],Auxiliar!$B$5:$B$13,0),MATCH(Table1[[#This Row],[Complexidade]],Auxiliar!$D$4:$F$4,0))</f>
        <v>4</v>
      </c>
      <c r="P667" s="2" t="s">
        <v>1290</v>
      </c>
      <c r="Q667" s="2"/>
      <c r="R667" s="152">
        <v>45566</v>
      </c>
      <c r="S667" s="152"/>
      <c r="T667" s="152">
        <v>45569</v>
      </c>
      <c r="U667" s="152">
        <v>45607</v>
      </c>
      <c r="V667" s="152"/>
      <c r="W667" s="2">
        <f>VLOOKUP(Table1[[#This Row],[Status]],Auxiliar!$B$16:$D$24,3,0)*Table1[[#This Row],[Estimação (horas)]]</f>
        <v>1</v>
      </c>
      <c r="X667" s="2"/>
    </row>
    <row r="668" spans="2:24" ht="17.7" hidden="1" customHeight="1" x14ac:dyDescent="0.25">
      <c r="B668" s="2" t="s">
        <v>26</v>
      </c>
      <c r="C668" s="2" t="s">
        <v>311</v>
      </c>
      <c r="D668" s="2" t="s">
        <v>333</v>
      </c>
      <c r="E668" s="2" t="s">
        <v>38</v>
      </c>
      <c r="F668" s="2" t="s">
        <v>332</v>
      </c>
      <c r="G668" s="2" t="s">
        <v>322</v>
      </c>
      <c r="H668" s="57" t="str">
        <f>Table1[[#This Row],[Tabela]]&amp;Table1[[#This Row],[Campo]]</f>
        <v>modesg_out_emss_vclsorigem_scp3_emss</v>
      </c>
      <c r="I668" s="2" t="s">
        <v>619</v>
      </c>
      <c r="J668" s="43">
        <f>VLOOKUP(Table1[[#This Row],[Status]],Auxiliar!$B$16:$C$24,2,0)</f>
        <v>7</v>
      </c>
      <c r="K668" s="2" t="s">
        <v>1255</v>
      </c>
      <c r="L668" s="2" t="s">
        <v>1250</v>
      </c>
      <c r="M668" s="21" t="s">
        <v>1260</v>
      </c>
      <c r="N668" s="48">
        <v>45575</v>
      </c>
      <c r="O668" s="21">
        <f>INDEX(Auxiliar!$D$5:$F$13,MATCH(Table1[[#This Row],[Tipologia_Testes]],Auxiliar!$B$5:$B$13,0),MATCH(Table1[[#This Row],[Complexidade]],Auxiliar!$D$4:$F$4,0))</f>
        <v>0.1</v>
      </c>
      <c r="P668" s="2" t="s">
        <v>1290</v>
      </c>
      <c r="Q668" s="2"/>
      <c r="R668" s="152">
        <v>45566</v>
      </c>
      <c r="S668" s="152"/>
      <c r="T668" s="152">
        <v>45569</v>
      </c>
      <c r="U668" s="152">
        <v>45607</v>
      </c>
      <c r="V668" s="152"/>
      <c r="W668" s="2">
        <f>VLOOKUP(Table1[[#This Row],[Status]],Auxiliar!$B$16:$D$24,3,0)*Table1[[#This Row],[Estimação (horas)]]</f>
        <v>2.5000000000000001E-2</v>
      </c>
      <c r="X668" s="2"/>
    </row>
    <row r="669" spans="2:24" ht="17.7" hidden="1" customHeight="1" x14ac:dyDescent="0.25">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x14ac:dyDescent="0.25">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x14ac:dyDescent="0.25">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x14ac:dyDescent="0.25">
      <c r="B672" s="2" t="s">
        <v>26</v>
      </c>
      <c r="C672" s="2" t="s">
        <v>311</v>
      </c>
      <c r="D672" s="2" t="s">
        <v>333</v>
      </c>
      <c r="E672" s="2" t="s">
        <v>38</v>
      </c>
      <c r="F672" s="2" t="s">
        <v>332</v>
      </c>
      <c r="G672" s="2" t="s">
        <v>286</v>
      </c>
      <c r="H672" s="57" t="str">
        <f>Table1[[#This Row],[Tabela]]&amp;Table1[[#This Row],[Campo]]</f>
        <v>modesg_out_emss_vclsscp1_emss</v>
      </c>
      <c r="I672" s="2" t="s">
        <v>619</v>
      </c>
      <c r="J672" s="43">
        <f>VLOOKUP(Table1[[#This Row],[Status]],Auxiliar!$B$16:$C$24,2,0)</f>
        <v>7</v>
      </c>
      <c r="K672" s="2" t="s">
        <v>1252</v>
      </c>
      <c r="L672" s="2" t="s">
        <v>1250</v>
      </c>
      <c r="M672" s="21" t="s">
        <v>1251</v>
      </c>
      <c r="N672" s="48">
        <v>45575</v>
      </c>
      <c r="O672" s="21">
        <f>INDEX(Auxiliar!$D$5:$F$13,MATCH(Table1[[#This Row],[Tipologia_Testes]],Auxiliar!$B$5:$B$13,0),MATCH(Table1[[#This Row],[Complexidade]],Auxiliar!$D$4:$F$4,0))</f>
        <v>8</v>
      </c>
      <c r="P672" s="23" t="s">
        <v>1291</v>
      </c>
      <c r="Q672" s="2"/>
      <c r="R672" s="152">
        <v>45566</v>
      </c>
      <c r="S672" s="152"/>
      <c r="T672" s="152">
        <v>45569</v>
      </c>
      <c r="U672" s="152">
        <v>45607</v>
      </c>
      <c r="V672" s="152"/>
      <c r="W672" s="2">
        <f>VLOOKUP(Table1[[#This Row],[Status]],Auxiliar!$B$16:$D$24,3,0)*Table1[[#This Row],[Estimação (horas)]]</f>
        <v>2</v>
      </c>
      <c r="X672" s="2"/>
    </row>
    <row r="673" spans="2:24" ht="69.599999999999994" hidden="1" customHeight="1" x14ac:dyDescent="0.25">
      <c r="B673" s="2" t="s">
        <v>26</v>
      </c>
      <c r="C673" s="2" t="s">
        <v>311</v>
      </c>
      <c r="D673" s="2" t="s">
        <v>333</v>
      </c>
      <c r="E673" s="2" t="s">
        <v>38</v>
      </c>
      <c r="F673" s="2" t="s">
        <v>332</v>
      </c>
      <c r="G673" s="2" t="s">
        <v>286</v>
      </c>
      <c r="H673" s="57" t="str">
        <f>Table1[[#This Row],[Tabela]]&amp;Table1[[#This Row],[Campo]]</f>
        <v>modesg_out_emss_vclsscp1_emss</v>
      </c>
      <c r="I673" s="2" t="s">
        <v>619</v>
      </c>
      <c r="J673" s="43">
        <f>VLOOKUP(Table1[[#This Row],[Status]],Auxiliar!$B$16:$C$24,2,0)</f>
        <v>7</v>
      </c>
      <c r="K673" s="2" t="s">
        <v>1253</v>
      </c>
      <c r="L673" s="2" t="s">
        <v>1250</v>
      </c>
      <c r="M673" s="21" t="s">
        <v>1251</v>
      </c>
      <c r="N673" s="48">
        <v>45575</v>
      </c>
      <c r="O673" s="21">
        <f>INDEX(Auxiliar!$D$5:$F$13,MATCH(Table1[[#This Row],[Tipologia_Testes]],Auxiliar!$B$5:$B$13,0),MATCH(Table1[[#This Row],[Complexidade]],Auxiliar!$D$4:$F$4,0))</f>
        <v>8</v>
      </c>
      <c r="P673" s="23" t="s">
        <v>1291</v>
      </c>
      <c r="Q673" s="2"/>
      <c r="R673" s="152">
        <v>45566</v>
      </c>
      <c r="S673" s="152"/>
      <c r="T673" s="152">
        <v>45569</v>
      </c>
      <c r="U673" s="152">
        <v>45607</v>
      </c>
      <c r="V673" s="152"/>
      <c r="W673" s="2">
        <f>VLOOKUP(Table1[[#This Row],[Status]],Auxiliar!$B$16:$D$24,3,0)*Table1[[#This Row],[Estimação (horas)]]</f>
        <v>2</v>
      </c>
      <c r="X673" s="2"/>
    </row>
    <row r="674" spans="2:24" ht="69.599999999999994" hidden="1" customHeight="1" x14ac:dyDescent="0.25">
      <c r="B674" s="2" t="s">
        <v>26</v>
      </c>
      <c r="C674" s="2" t="s">
        <v>311</v>
      </c>
      <c r="D674" s="2" t="s">
        <v>333</v>
      </c>
      <c r="E674" s="2" t="s">
        <v>38</v>
      </c>
      <c r="F674" s="2" t="s">
        <v>332</v>
      </c>
      <c r="G674" s="2" t="s">
        <v>286</v>
      </c>
      <c r="H674" s="57" t="str">
        <f>Table1[[#This Row],[Tabela]]&amp;Table1[[#This Row],[Campo]]</f>
        <v>modesg_out_emss_vclsscp1_emss</v>
      </c>
      <c r="I674" s="2" t="s">
        <v>619</v>
      </c>
      <c r="J674" s="43">
        <f>VLOOKUP(Table1[[#This Row],[Status]],Auxiliar!$B$16:$C$24,2,0)</f>
        <v>7</v>
      </c>
      <c r="K674" s="2" t="s">
        <v>1255</v>
      </c>
      <c r="L674" s="2" t="s">
        <v>1250</v>
      </c>
      <c r="M674" s="21" t="s">
        <v>1251</v>
      </c>
      <c r="N674" s="48">
        <v>45575</v>
      </c>
      <c r="O674" s="21">
        <f>INDEX(Auxiliar!$D$5:$F$13,MATCH(Table1[[#This Row],[Tipologia_Testes]],Auxiliar!$B$5:$B$13,0),MATCH(Table1[[#This Row],[Complexidade]],Auxiliar!$D$4:$F$4,0))</f>
        <v>0.1</v>
      </c>
      <c r="P674" s="23" t="s">
        <v>1291</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x14ac:dyDescent="0.25">
      <c r="B675" s="2" t="s">
        <v>26</v>
      </c>
      <c r="C675" s="2" t="s">
        <v>311</v>
      </c>
      <c r="D675" s="2" t="s">
        <v>333</v>
      </c>
      <c r="E675" s="2" t="s">
        <v>38</v>
      </c>
      <c r="F675" s="2" t="s">
        <v>332</v>
      </c>
      <c r="G675" s="2" t="s">
        <v>287</v>
      </c>
      <c r="H675" s="57" t="str">
        <f>Table1[[#This Row],[Tabela]]&amp;Table1[[#This Row],[Campo]]</f>
        <v>modesg_out_emss_vclsscp2_emss</v>
      </c>
      <c r="I675" s="2" t="s">
        <v>619</v>
      </c>
      <c r="J675" s="43">
        <f>VLOOKUP(Table1[[#This Row],[Status]],Auxiliar!$B$16:$C$24,2,0)</f>
        <v>7</v>
      </c>
      <c r="K675" s="2" t="s">
        <v>1252</v>
      </c>
      <c r="L675" s="2" t="s">
        <v>1250</v>
      </c>
      <c r="M675" s="21" t="s">
        <v>1251</v>
      </c>
      <c r="N675" s="48">
        <v>45575</v>
      </c>
      <c r="O675" s="21">
        <f>INDEX(Auxiliar!$D$5:$F$13,MATCH(Table1[[#This Row],[Tipologia_Testes]],Auxiliar!$B$5:$B$13,0),MATCH(Table1[[#This Row],[Complexidade]],Auxiliar!$D$4:$F$4,0))</f>
        <v>8</v>
      </c>
      <c r="P675" s="23" t="s">
        <v>1291</v>
      </c>
      <c r="Q675" s="2"/>
      <c r="R675" s="152">
        <v>45566</v>
      </c>
      <c r="S675" s="152"/>
      <c r="T675" s="152">
        <v>45569</v>
      </c>
      <c r="U675" s="152">
        <v>45607</v>
      </c>
      <c r="V675" s="152"/>
      <c r="W675" s="2">
        <f>VLOOKUP(Table1[[#This Row],[Status]],Auxiliar!$B$16:$D$24,3,0)*Table1[[#This Row],[Estimação (horas)]]</f>
        <v>2</v>
      </c>
      <c r="X675" s="2"/>
    </row>
    <row r="676" spans="2:24" ht="69.599999999999994" hidden="1" customHeight="1" x14ac:dyDescent="0.25">
      <c r="B676" s="2" t="s">
        <v>26</v>
      </c>
      <c r="C676" s="2" t="s">
        <v>311</v>
      </c>
      <c r="D676" s="2" t="s">
        <v>333</v>
      </c>
      <c r="E676" s="2" t="s">
        <v>38</v>
      </c>
      <c r="F676" s="2" t="s">
        <v>332</v>
      </c>
      <c r="G676" s="2" t="s">
        <v>287</v>
      </c>
      <c r="H676" s="57" t="str">
        <f>Table1[[#This Row],[Tabela]]&amp;Table1[[#This Row],[Campo]]</f>
        <v>modesg_out_emss_vclsscp2_emss</v>
      </c>
      <c r="I676" s="2" t="s">
        <v>619</v>
      </c>
      <c r="J676" s="43">
        <f>VLOOKUP(Table1[[#This Row],[Status]],Auxiliar!$B$16:$C$24,2,0)</f>
        <v>7</v>
      </c>
      <c r="K676" s="2" t="s">
        <v>1253</v>
      </c>
      <c r="L676" s="2" t="s">
        <v>1250</v>
      </c>
      <c r="M676" s="21" t="s">
        <v>1251</v>
      </c>
      <c r="N676" s="48">
        <v>45575</v>
      </c>
      <c r="O676" s="21">
        <f>INDEX(Auxiliar!$D$5:$F$13,MATCH(Table1[[#This Row],[Tipologia_Testes]],Auxiliar!$B$5:$B$13,0),MATCH(Table1[[#This Row],[Complexidade]],Auxiliar!$D$4:$F$4,0))</f>
        <v>8</v>
      </c>
      <c r="P676" s="23" t="s">
        <v>1291</v>
      </c>
      <c r="Q676" s="2"/>
      <c r="R676" s="152">
        <v>45566</v>
      </c>
      <c r="S676" s="152"/>
      <c r="T676" s="152">
        <v>45569</v>
      </c>
      <c r="U676" s="152">
        <v>45607</v>
      </c>
      <c r="V676" s="152"/>
      <c r="W676" s="2">
        <f>VLOOKUP(Table1[[#This Row],[Status]],Auxiliar!$B$16:$D$24,3,0)*Table1[[#This Row],[Estimação (horas)]]</f>
        <v>2</v>
      </c>
      <c r="X676" s="2"/>
    </row>
    <row r="677" spans="2:24" ht="69.599999999999994" hidden="1" customHeight="1" x14ac:dyDescent="0.25">
      <c r="B677" s="2" t="s">
        <v>26</v>
      </c>
      <c r="C677" s="2" t="s">
        <v>311</v>
      </c>
      <c r="D677" s="2" t="s">
        <v>333</v>
      </c>
      <c r="E677" s="2" t="s">
        <v>38</v>
      </c>
      <c r="F677" s="2" t="s">
        <v>332</v>
      </c>
      <c r="G677" s="2" t="s">
        <v>287</v>
      </c>
      <c r="H677" s="57" t="str">
        <f>Table1[[#This Row],[Tabela]]&amp;Table1[[#This Row],[Campo]]</f>
        <v>modesg_out_emss_vclsscp2_emss</v>
      </c>
      <c r="I677" s="2" t="s">
        <v>619</v>
      </c>
      <c r="J677" s="43">
        <f>VLOOKUP(Table1[[#This Row],[Status]],Auxiliar!$B$16:$C$24,2,0)</f>
        <v>7</v>
      </c>
      <c r="K677" s="2" t="s">
        <v>1255</v>
      </c>
      <c r="L677" s="2" t="s">
        <v>1250</v>
      </c>
      <c r="M677" s="21" t="s">
        <v>1251</v>
      </c>
      <c r="N677" s="48">
        <v>45575</v>
      </c>
      <c r="O677" s="21">
        <f>INDEX(Auxiliar!$D$5:$F$13,MATCH(Table1[[#This Row],[Tipologia_Testes]],Auxiliar!$B$5:$B$13,0),MATCH(Table1[[#This Row],[Complexidade]],Auxiliar!$D$4:$F$4,0))</f>
        <v>0.1</v>
      </c>
      <c r="P677" s="23" t="s">
        <v>1291</v>
      </c>
      <c r="Q677" s="2"/>
      <c r="R677" s="152">
        <v>45566</v>
      </c>
      <c r="S677" s="152"/>
      <c r="T677" s="152">
        <v>45569</v>
      </c>
      <c r="U677" s="152">
        <v>45607</v>
      </c>
      <c r="V677" s="152"/>
      <c r="W677" s="2">
        <f>VLOOKUP(Table1[[#This Row],[Status]],Auxiliar!$B$16:$D$24,3,0)*Table1[[#This Row],[Estimação (horas)]]</f>
        <v>2.5000000000000001E-2</v>
      </c>
      <c r="X677" s="2"/>
    </row>
    <row r="678" spans="2:24" ht="69.599999999999994" hidden="1" customHeight="1" x14ac:dyDescent="0.25">
      <c r="B678" s="2" t="s">
        <v>26</v>
      </c>
      <c r="C678" s="2" t="s">
        <v>311</v>
      </c>
      <c r="D678" s="2" t="s">
        <v>333</v>
      </c>
      <c r="E678" s="2" t="s">
        <v>38</v>
      </c>
      <c r="F678" s="2" t="s">
        <v>332</v>
      </c>
      <c r="G678" s="2" t="s">
        <v>288</v>
      </c>
      <c r="H678" s="57" t="str">
        <f>Table1[[#This Row],[Tabela]]&amp;Table1[[#This Row],[Campo]]</f>
        <v>modesg_out_emss_vclsscp3_emss</v>
      </c>
      <c r="I678" s="2" t="s">
        <v>619</v>
      </c>
      <c r="J678" s="43">
        <f>VLOOKUP(Table1[[#This Row],[Status]],Auxiliar!$B$16:$C$24,2,0)</f>
        <v>7</v>
      </c>
      <c r="K678" s="2" t="s">
        <v>1252</v>
      </c>
      <c r="L678" s="2" t="s">
        <v>1250</v>
      </c>
      <c r="M678" s="21" t="s">
        <v>1251</v>
      </c>
      <c r="N678" s="48">
        <v>45575</v>
      </c>
      <c r="O678" s="21">
        <f>INDEX(Auxiliar!$D$5:$F$13,MATCH(Table1[[#This Row],[Tipologia_Testes]],Auxiliar!$B$5:$B$13,0),MATCH(Table1[[#This Row],[Complexidade]],Auxiliar!$D$4:$F$4,0))</f>
        <v>8</v>
      </c>
      <c r="P678" s="23" t="s">
        <v>1291</v>
      </c>
      <c r="Q678" s="2"/>
      <c r="R678" s="152">
        <v>45566</v>
      </c>
      <c r="S678" s="152"/>
      <c r="T678" s="152">
        <v>45569</v>
      </c>
      <c r="U678" s="152">
        <v>45607</v>
      </c>
      <c r="V678" s="152"/>
      <c r="W678" s="2">
        <f>VLOOKUP(Table1[[#This Row],[Status]],Auxiliar!$B$16:$D$24,3,0)*Table1[[#This Row],[Estimação (horas)]]</f>
        <v>2</v>
      </c>
      <c r="X678" s="2"/>
    </row>
    <row r="679" spans="2:24" ht="69.599999999999994" hidden="1" customHeight="1" x14ac:dyDescent="0.25">
      <c r="B679" s="2" t="s">
        <v>26</v>
      </c>
      <c r="C679" s="2" t="s">
        <v>311</v>
      </c>
      <c r="D679" s="2" t="s">
        <v>333</v>
      </c>
      <c r="E679" s="2" t="s">
        <v>38</v>
      </c>
      <c r="F679" s="2" t="s">
        <v>332</v>
      </c>
      <c r="G679" s="2" t="s">
        <v>288</v>
      </c>
      <c r="H679" s="57" t="str">
        <f>Table1[[#This Row],[Tabela]]&amp;Table1[[#This Row],[Campo]]</f>
        <v>modesg_out_emss_vclsscp3_emss</v>
      </c>
      <c r="I679" s="2" t="s">
        <v>619</v>
      </c>
      <c r="J679" s="43">
        <f>VLOOKUP(Table1[[#This Row],[Status]],Auxiliar!$B$16:$C$24,2,0)</f>
        <v>7</v>
      </c>
      <c r="K679" s="2" t="s">
        <v>1253</v>
      </c>
      <c r="L679" s="2" t="s">
        <v>1250</v>
      </c>
      <c r="M679" s="21" t="s">
        <v>1251</v>
      </c>
      <c r="N679" s="48">
        <v>45575</v>
      </c>
      <c r="O679" s="21">
        <f>INDEX(Auxiliar!$D$5:$F$13,MATCH(Table1[[#This Row],[Tipologia_Testes]],Auxiliar!$B$5:$B$13,0),MATCH(Table1[[#This Row],[Complexidade]],Auxiliar!$D$4:$F$4,0))</f>
        <v>8</v>
      </c>
      <c r="P679" s="23" t="s">
        <v>1291</v>
      </c>
      <c r="Q679" s="2"/>
      <c r="R679" s="152">
        <v>45566</v>
      </c>
      <c r="S679" s="152"/>
      <c r="T679" s="152">
        <v>45569</v>
      </c>
      <c r="U679" s="152">
        <v>45607</v>
      </c>
      <c r="V679" s="152"/>
      <c r="W679" s="2">
        <f>VLOOKUP(Table1[[#This Row],[Status]],Auxiliar!$B$16:$D$24,3,0)*Table1[[#This Row],[Estimação (horas)]]</f>
        <v>2</v>
      </c>
      <c r="X679" s="2"/>
    </row>
    <row r="680" spans="2:24" ht="69.599999999999994" hidden="1" customHeight="1" x14ac:dyDescent="0.25">
      <c r="B680" s="2" t="s">
        <v>26</v>
      </c>
      <c r="C680" s="2" t="s">
        <v>311</v>
      </c>
      <c r="D680" s="2" t="s">
        <v>333</v>
      </c>
      <c r="E680" s="2" t="s">
        <v>38</v>
      </c>
      <c r="F680" s="2" t="s">
        <v>332</v>
      </c>
      <c r="G680" s="2" t="s">
        <v>288</v>
      </c>
      <c r="H680" s="57" t="str">
        <f>Table1[[#This Row],[Tabela]]&amp;Table1[[#This Row],[Campo]]</f>
        <v>modesg_out_emss_vclsscp3_emss</v>
      </c>
      <c r="I680" s="2" t="s">
        <v>619</v>
      </c>
      <c r="J680" s="43">
        <f>VLOOKUP(Table1[[#This Row],[Status]],Auxiliar!$B$16:$C$24,2,0)</f>
        <v>7</v>
      </c>
      <c r="K680" s="2" t="s">
        <v>1255</v>
      </c>
      <c r="L680" s="2" t="s">
        <v>1250</v>
      </c>
      <c r="M680" s="21" t="s">
        <v>1251</v>
      </c>
      <c r="N680" s="48">
        <v>45575</v>
      </c>
      <c r="O680" s="21">
        <f>INDEX(Auxiliar!$D$5:$F$13,MATCH(Table1[[#This Row],[Tipologia_Testes]],Auxiliar!$B$5:$B$13,0),MATCH(Table1[[#This Row],[Complexidade]],Auxiliar!$D$4:$F$4,0))</f>
        <v>0.1</v>
      </c>
      <c r="P680" s="23" t="s">
        <v>1291</v>
      </c>
      <c r="Q680" s="2"/>
      <c r="R680" s="152">
        <v>45566</v>
      </c>
      <c r="S680" s="152"/>
      <c r="T680" s="152">
        <v>45569</v>
      </c>
      <c r="U680" s="152">
        <v>45607</v>
      </c>
      <c r="V680" s="152"/>
      <c r="W680" s="2">
        <f>VLOOKUP(Table1[[#This Row],[Status]],Auxiliar!$B$16:$D$24,3,0)*Table1[[#This Row],[Estimação (horas)]]</f>
        <v>2.5000000000000001E-2</v>
      </c>
      <c r="X680" s="2"/>
    </row>
    <row r="681" spans="2:24" ht="17.7" hidden="1" customHeight="1" x14ac:dyDescent="0.25">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x14ac:dyDescent="0.25">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x14ac:dyDescent="0.25">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x14ac:dyDescent="0.25">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x14ac:dyDescent="0.25">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x14ac:dyDescent="0.25">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x14ac:dyDescent="0.25">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x14ac:dyDescent="0.25">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x14ac:dyDescent="0.25">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x14ac:dyDescent="0.25">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 t="s">
        <v>1250</v>
      </c>
      <c r="M690" s="21" t="s">
        <v>1251</v>
      </c>
      <c r="N690" s="48">
        <v>45546</v>
      </c>
      <c r="O690" s="21">
        <f>INDEX(Auxiliar!$D$5:$F$13,MATCH(Table1[[#This Row],[Tipologia_Testes]],Auxiliar!$B$5:$B$13,0),MATCH(Table1[[#This Row],[Complexidade]],Auxiliar!$D$4:$F$4,0))</f>
        <v>8</v>
      </c>
      <c r="P690" s="23" t="s">
        <v>1292</v>
      </c>
      <c r="Q690" s="2"/>
      <c r="R690" s="152">
        <v>45563</v>
      </c>
      <c r="S690" s="152"/>
      <c r="T690" s="152">
        <v>45563</v>
      </c>
      <c r="U690" s="152">
        <v>45624</v>
      </c>
      <c r="V690" s="152"/>
      <c r="W690" s="2">
        <f>VLOOKUP(Table1[[#This Row],[Status]],Auxiliar!$B$16:$D$24,3,0)*Table1[[#This Row],[Estimação (horas)]]</f>
        <v>2</v>
      </c>
      <c r="X690" s="2"/>
    </row>
    <row r="691" spans="2:24" ht="17.7" hidden="1" customHeight="1" x14ac:dyDescent="0.25">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x14ac:dyDescent="0.25">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x14ac:dyDescent="0.25">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x14ac:dyDescent="0.25">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x14ac:dyDescent="0.25">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x14ac:dyDescent="0.25">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x14ac:dyDescent="0.25">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x14ac:dyDescent="0.25">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x14ac:dyDescent="0.25">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x14ac:dyDescent="0.25">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 t="s">
        <v>1250</v>
      </c>
      <c r="M700" s="21" t="s">
        <v>1259</v>
      </c>
      <c r="N700" s="48">
        <v>45546</v>
      </c>
      <c r="O700" s="21">
        <f>INDEX(Auxiliar!$D$5:$F$13,MATCH(Table1[[#This Row],[Tipologia_Testes]],Auxiliar!$B$5:$B$13,0),MATCH(Table1[[#This Row],[Complexidade]],Auxiliar!$D$4:$F$4,0))</f>
        <v>2</v>
      </c>
      <c r="P700" s="2" t="s">
        <v>1293</v>
      </c>
      <c r="Q700" s="2"/>
      <c r="R700" s="152">
        <v>45563</v>
      </c>
      <c r="S700" s="152"/>
      <c r="T700" s="152">
        <v>45563</v>
      </c>
      <c r="U700" s="152">
        <v>45624</v>
      </c>
      <c r="V700" s="152"/>
      <c r="W700" s="2">
        <f>VLOOKUP(Table1[[#This Row],[Status]],Auxiliar!$B$16:$D$24,3,0)*Table1[[#This Row],[Estimação (horas)]]</f>
        <v>0.5</v>
      </c>
      <c r="X700" s="2"/>
    </row>
    <row r="701" spans="2:24" ht="17.7" hidden="1" customHeight="1" x14ac:dyDescent="0.25">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 t="s">
        <v>1250</v>
      </c>
      <c r="M701" s="21" t="s">
        <v>1259</v>
      </c>
      <c r="N701" s="48">
        <v>45546</v>
      </c>
      <c r="O701" s="21">
        <f>INDEX(Auxiliar!$D$5:$F$13,MATCH(Table1[[#This Row],[Tipologia_Testes]],Auxiliar!$B$5:$B$13,0),MATCH(Table1[[#This Row],[Complexidade]],Auxiliar!$D$4:$F$4,0))</f>
        <v>2</v>
      </c>
      <c r="P701" s="2" t="s">
        <v>1293</v>
      </c>
      <c r="Q701" s="2"/>
      <c r="R701" s="152">
        <v>45563</v>
      </c>
      <c r="S701" s="152"/>
      <c r="T701" s="152">
        <v>45563</v>
      </c>
      <c r="U701" s="152">
        <v>45624</v>
      </c>
      <c r="V701" s="152"/>
      <c r="W701" s="2">
        <f>VLOOKUP(Table1[[#This Row],[Status]],Auxiliar!$B$16:$D$24,3,0)*Table1[[#This Row],[Estimação (horas)]]</f>
        <v>0.5</v>
      </c>
      <c r="X701" s="2"/>
    </row>
    <row r="702" spans="2:24" ht="17.7" hidden="1" customHeight="1" x14ac:dyDescent="0.25">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 t="s">
        <v>1250</v>
      </c>
      <c r="M702" s="21" t="s">
        <v>1259</v>
      </c>
      <c r="N702" s="48">
        <v>45546</v>
      </c>
      <c r="O702" s="21">
        <f>INDEX(Auxiliar!$D$5:$F$13,MATCH(Table1[[#This Row],[Tipologia_Testes]],Auxiliar!$B$5:$B$13,0),MATCH(Table1[[#This Row],[Complexidade]],Auxiliar!$D$4:$F$4,0))</f>
        <v>0.1</v>
      </c>
      <c r="P702" s="2" t="s">
        <v>1293</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x14ac:dyDescent="0.25">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 t="s">
        <v>1294</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x14ac:dyDescent="0.25">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 t="s">
        <v>1294</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x14ac:dyDescent="0.25">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 t="s">
        <v>1294</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x14ac:dyDescent="0.25">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8" t="s">
        <v>1250</v>
      </c>
      <c r="M706" s="21" t="s">
        <v>1251</v>
      </c>
      <c r="N706" s="48">
        <v>45546</v>
      </c>
      <c r="O706" s="21">
        <f>INDEX(Auxiliar!$D$5:$F$13,MATCH(Table1[[#This Row],[Tipologia_Testes]],Auxiliar!$B$5:$B$13,0),MATCH(Table1[[#This Row],[Complexidade]],Auxiliar!$D$4:$F$4,0))</f>
        <v>8</v>
      </c>
      <c r="P706" s="23" t="s">
        <v>1295</v>
      </c>
      <c r="Q706" s="2"/>
      <c r="R706" s="152">
        <v>45563</v>
      </c>
      <c r="S706" s="152"/>
      <c r="T706" s="152">
        <v>45563</v>
      </c>
      <c r="U706" s="152">
        <v>45624</v>
      </c>
      <c r="V706" s="152"/>
      <c r="W706" s="2">
        <f>VLOOKUP(Table1[[#This Row],[Status]],Auxiliar!$B$16:$D$24,3,0)*Table1[[#This Row],[Estimação (horas)]]</f>
        <v>2</v>
      </c>
      <c r="X706" s="2"/>
    </row>
    <row r="707" spans="2:24" ht="139.19999999999999" hidden="1" customHeight="1" x14ac:dyDescent="0.25">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1295</v>
      </c>
      <c r="Q707" s="2"/>
      <c r="R707" s="152">
        <v>45563</v>
      </c>
      <c r="S707" s="152"/>
      <c r="T707" s="152">
        <v>45563</v>
      </c>
      <c r="U707" s="152">
        <v>45624</v>
      </c>
      <c r="V707" s="152"/>
      <c r="W707" s="2">
        <f>VLOOKUP(Table1[[#This Row],[Status]],Auxiliar!$B$16:$D$24,3,0)*Table1[[#This Row],[Estimação (horas)]]</f>
        <v>2</v>
      </c>
      <c r="X707" s="2"/>
    </row>
    <row r="708" spans="2:24" ht="139.19999999999999" hidden="1" customHeight="1" x14ac:dyDescent="0.25">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1295</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x14ac:dyDescent="0.25">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 t="s">
        <v>1250</v>
      </c>
      <c r="M709" s="21" t="s">
        <v>1251</v>
      </c>
      <c r="N709" s="48">
        <v>45546</v>
      </c>
      <c r="O709" s="21">
        <f>INDEX(Auxiliar!$D$5:$F$13,MATCH(Table1[[#This Row],[Tipologia_Testes]],Auxiliar!$B$5:$B$13,0),MATCH(Table1[[#This Row],[Complexidade]],Auxiliar!$D$4:$F$4,0))</f>
        <v>8</v>
      </c>
      <c r="P709" s="23" t="s">
        <v>1296</v>
      </c>
      <c r="Q709" s="2"/>
      <c r="R709" s="152">
        <v>45562</v>
      </c>
      <c r="S709" s="152"/>
      <c r="T709" s="152">
        <v>45562</v>
      </c>
      <c r="U709" s="152">
        <v>45624</v>
      </c>
      <c r="V709" s="152"/>
      <c r="W709" s="2">
        <f>VLOOKUP(Table1[[#This Row],[Status]],Auxiliar!$B$16:$D$24,3,0)*Table1[[#This Row],[Estimação (horas)]]</f>
        <v>2</v>
      </c>
      <c r="X709" s="2"/>
    </row>
    <row r="710" spans="2:24" ht="52.2" hidden="1" customHeight="1" x14ac:dyDescent="0.25">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 t="s">
        <v>1250</v>
      </c>
      <c r="M710" s="21" t="s">
        <v>1251</v>
      </c>
      <c r="N710" s="48">
        <v>45546</v>
      </c>
      <c r="O710" s="21">
        <f>INDEX(Auxiliar!$D$5:$F$13,MATCH(Table1[[#This Row],[Tipologia_Testes]],Auxiliar!$B$5:$B$13,0),MATCH(Table1[[#This Row],[Complexidade]],Auxiliar!$D$4:$F$4,0))</f>
        <v>8</v>
      </c>
      <c r="P710" s="23" t="s">
        <v>1296</v>
      </c>
      <c r="Q710" s="2"/>
      <c r="R710" s="152">
        <v>45562</v>
      </c>
      <c r="S710" s="152"/>
      <c r="T710" s="152">
        <v>45562</v>
      </c>
      <c r="U710" s="152">
        <v>45624</v>
      </c>
      <c r="V710" s="152"/>
      <c r="W710" s="2">
        <f>VLOOKUP(Table1[[#This Row],[Status]],Auxiliar!$B$16:$D$24,3,0)*Table1[[#This Row],[Estimação (horas)]]</f>
        <v>2</v>
      </c>
      <c r="X710" s="2"/>
    </row>
    <row r="711" spans="2:24" ht="52.2" hidden="1" customHeight="1" x14ac:dyDescent="0.25">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 t="s">
        <v>1250</v>
      </c>
      <c r="M711" s="21" t="s">
        <v>1251</v>
      </c>
      <c r="N711" s="48">
        <v>45546</v>
      </c>
      <c r="O711" s="21">
        <f>INDEX(Auxiliar!$D$5:$F$13,MATCH(Table1[[#This Row],[Tipologia_Testes]],Auxiliar!$B$5:$B$13,0),MATCH(Table1[[#This Row],[Complexidade]],Auxiliar!$D$4:$F$4,0))</f>
        <v>0.1</v>
      </c>
      <c r="P711" s="23" t="s">
        <v>1296</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x14ac:dyDescent="0.25">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8" t="s">
        <v>1250</v>
      </c>
      <c r="M712" s="21" t="s">
        <v>1260</v>
      </c>
      <c r="N712" s="48">
        <v>45546</v>
      </c>
      <c r="O712" s="21">
        <f>INDEX(Auxiliar!$D$5:$F$13,MATCH(Table1[[#This Row],[Tipologia_Testes]],Auxiliar!$B$5:$B$13,0),MATCH(Table1[[#This Row],[Complexidade]],Auxiliar!$D$4:$F$4,0))</f>
        <v>4</v>
      </c>
      <c r="P712" s="2" t="s">
        <v>1297</v>
      </c>
      <c r="Q712" s="2"/>
      <c r="R712" s="152">
        <v>45563</v>
      </c>
      <c r="S712" s="152"/>
      <c r="T712" s="152">
        <v>45563</v>
      </c>
      <c r="U712" s="152">
        <v>45624</v>
      </c>
      <c r="V712" s="152"/>
      <c r="W712" s="2">
        <f>VLOOKUP(Table1[[#This Row],[Status]],Auxiliar!$B$16:$D$24,3,0)*Table1[[#This Row],[Estimação (horas)]]</f>
        <v>1</v>
      </c>
      <c r="X712" s="2"/>
    </row>
    <row r="713" spans="2:24" ht="17.7" hidden="1" customHeight="1" x14ac:dyDescent="0.25">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1297</v>
      </c>
      <c r="Q713" s="2"/>
      <c r="R713" s="152">
        <v>45563</v>
      </c>
      <c r="S713" s="152"/>
      <c r="T713" s="152">
        <v>45563</v>
      </c>
      <c r="U713" s="152">
        <v>45624</v>
      </c>
      <c r="V713" s="152"/>
      <c r="W713" s="2">
        <f>VLOOKUP(Table1[[#This Row],[Status]],Auxiliar!$B$16:$D$24,3,0)*Table1[[#This Row],[Estimação (horas)]]</f>
        <v>1</v>
      </c>
      <c r="X713" s="2"/>
    </row>
    <row r="714" spans="2:24" ht="17.7" hidden="1" customHeight="1" x14ac:dyDescent="0.25">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1297</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x14ac:dyDescent="0.25">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x14ac:dyDescent="0.25">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x14ac:dyDescent="0.25">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x14ac:dyDescent="0.25">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8" t="s">
        <v>1250</v>
      </c>
      <c r="M718" s="21" t="s">
        <v>1260</v>
      </c>
      <c r="N718" s="48">
        <v>45546</v>
      </c>
      <c r="O718" s="21">
        <f>INDEX(Auxiliar!$D$5:$F$13,MATCH(Table1[[#This Row],[Tipologia_Testes]],Auxiliar!$B$5:$B$13,0),MATCH(Table1[[#This Row],[Complexidade]],Auxiliar!$D$4:$F$4,0))</f>
        <v>4</v>
      </c>
      <c r="P718" s="2" t="s">
        <v>1297</v>
      </c>
      <c r="Q718" s="2"/>
      <c r="R718" s="152">
        <v>45563</v>
      </c>
      <c r="S718" s="152"/>
      <c r="T718" s="152">
        <v>45563</v>
      </c>
      <c r="U718" s="152">
        <v>45624</v>
      </c>
      <c r="V718" s="152"/>
      <c r="W718" s="2">
        <f>VLOOKUP(Table1[[#This Row],[Status]],Auxiliar!$B$16:$D$24,3,0)*Table1[[#This Row],[Estimação (horas)]]</f>
        <v>1</v>
      </c>
      <c r="X718" s="2"/>
    </row>
    <row r="719" spans="2:24" ht="17.7" hidden="1" customHeight="1" x14ac:dyDescent="0.25">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1297</v>
      </c>
      <c r="Q719" s="2"/>
      <c r="R719" s="152">
        <v>45563</v>
      </c>
      <c r="S719" s="152"/>
      <c r="T719" s="152">
        <v>45563</v>
      </c>
      <c r="U719" s="152">
        <v>45624</v>
      </c>
      <c r="V719" s="152"/>
      <c r="W719" s="2">
        <f>VLOOKUP(Table1[[#This Row],[Status]],Auxiliar!$B$16:$D$24,3,0)*Table1[[#This Row],[Estimação (horas)]]</f>
        <v>1</v>
      </c>
      <c r="X719" s="2"/>
    </row>
    <row r="720" spans="2:24" ht="17.7" hidden="1" customHeight="1" x14ac:dyDescent="0.25">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1297</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x14ac:dyDescent="0.25">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1297</v>
      </c>
      <c r="Q721" s="2"/>
      <c r="R721" s="152">
        <v>45563</v>
      </c>
      <c r="S721" s="152"/>
      <c r="T721" s="152">
        <v>45563</v>
      </c>
      <c r="U721" s="152">
        <v>45624</v>
      </c>
      <c r="V721" s="152"/>
      <c r="W721" s="2">
        <f>VLOOKUP(Table1[[#This Row],[Status]],Auxiliar!$B$16:$D$24,3,0)*Table1[[#This Row],[Estimação (horas)]]</f>
        <v>1</v>
      </c>
      <c r="X721" s="2"/>
    </row>
    <row r="722" spans="2:24" ht="17.7" hidden="1" customHeight="1" x14ac:dyDescent="0.25">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1297</v>
      </c>
      <c r="Q722" s="2"/>
      <c r="R722" s="152">
        <v>45563</v>
      </c>
      <c r="S722" s="152"/>
      <c r="T722" s="152">
        <v>45563</v>
      </c>
      <c r="U722" s="152">
        <v>45624</v>
      </c>
      <c r="V722" s="152"/>
      <c r="W722" s="2">
        <f>VLOOKUP(Table1[[#This Row],[Status]],Auxiliar!$B$16:$D$24,3,0)*Table1[[#This Row],[Estimação (horas)]]</f>
        <v>1</v>
      </c>
      <c r="X722" s="2"/>
    </row>
    <row r="723" spans="2:24" ht="17.7" hidden="1" customHeight="1" x14ac:dyDescent="0.25">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1297</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x14ac:dyDescent="0.25">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x14ac:dyDescent="0.25">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x14ac:dyDescent="0.25">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x14ac:dyDescent="0.25">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x14ac:dyDescent="0.25">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x14ac:dyDescent="0.25">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x14ac:dyDescent="0.25">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x14ac:dyDescent="0.25">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x14ac:dyDescent="0.25">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x14ac:dyDescent="0.25">
      <c r="B733" s="2" t="s">
        <v>26</v>
      </c>
      <c r="C733" s="2" t="s">
        <v>181</v>
      </c>
      <c r="D733" s="2" t="s">
        <v>1298</v>
      </c>
      <c r="E733" s="2" t="s">
        <v>38</v>
      </c>
      <c r="F733" s="2" t="s">
        <v>182</v>
      </c>
      <c r="G733" s="2" t="s">
        <v>38</v>
      </c>
      <c r="H733" s="57" t="str">
        <f>Table1[[#This Row],[Tabela]]&amp;Table1[[#This Row],[Campo]]</f>
        <v>modesg_param_sfcs_taxon_europeian.a.</v>
      </c>
      <c r="I733" s="2" t="s">
        <v>1931</v>
      </c>
      <c r="J733" s="43">
        <f>VLOOKUP(Table1[[#This Row],[Status]],Auxiliar!$B$16:$C$24,2,0)</f>
        <v>2</v>
      </c>
      <c r="K733" s="2" t="s">
        <v>1249</v>
      </c>
      <c r="L733" s="2" t="s">
        <v>1258</v>
      </c>
      <c r="M733" s="21" t="s">
        <v>1251</v>
      </c>
      <c r="N733" s="48">
        <v>45603</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4</v>
      </c>
      <c r="X733" s="2"/>
    </row>
    <row r="734" spans="2:24" ht="87" hidden="1" customHeight="1" x14ac:dyDescent="0.25">
      <c r="B734" s="2" t="s">
        <v>26</v>
      </c>
      <c r="C734" s="2" t="s">
        <v>181</v>
      </c>
      <c r="D734" s="2" t="s">
        <v>1298</v>
      </c>
      <c r="E734" s="2" t="s">
        <v>38</v>
      </c>
      <c r="F734" s="2" t="s">
        <v>182</v>
      </c>
      <c r="G734" s="2" t="s">
        <v>38</v>
      </c>
      <c r="H734" s="57" t="str">
        <f>Table1[[#This Row],[Tabela]]&amp;Table1[[#This Row],[Campo]]</f>
        <v>modesg_param_sfcs_taxon_europeian.a.</v>
      </c>
      <c r="I734" s="2" t="s">
        <v>1931</v>
      </c>
      <c r="J734" s="43">
        <f>VLOOKUP(Table1[[#This Row],[Status]],Auxiliar!$B$16:$C$24,2,0)</f>
        <v>2</v>
      </c>
      <c r="K734" s="2" t="s">
        <v>1299</v>
      </c>
      <c r="L734" s="2" t="s">
        <v>1258</v>
      </c>
      <c r="M734" s="21" t="s">
        <v>1259</v>
      </c>
      <c r="N734" s="48">
        <v>45603</v>
      </c>
      <c r="O734" s="21">
        <f>INDEX(Auxiliar!$D$5:$F$13,MATCH(Table1[[#This Row],[Tipologia_Testes]],Auxiliar!$B$5:$B$13,0),MATCH(Table1[[#This Row],[Complexidade]],Auxiliar!$D$4:$F$4,0))</f>
        <v>0.5</v>
      </c>
      <c r="P734" s="23" t="s">
        <v>1300</v>
      </c>
      <c r="Q734" s="2"/>
      <c r="R734" s="152">
        <v>45563</v>
      </c>
      <c r="S734" s="152"/>
      <c r="T734" s="152">
        <v>45563</v>
      </c>
      <c r="U734" s="152">
        <v>45603</v>
      </c>
      <c r="V734" s="152">
        <v>45604</v>
      </c>
      <c r="W734" s="2">
        <f>VLOOKUP(Table1[[#This Row],[Status]],Auxiliar!$B$16:$D$24,3,0)*Table1[[#This Row],[Estimação (horas)]]</f>
        <v>0.25</v>
      </c>
      <c r="X734" s="2"/>
    </row>
    <row r="735" spans="2:24" ht="17.7" hidden="1" customHeight="1" x14ac:dyDescent="0.25">
      <c r="B735" s="2" t="s">
        <v>26</v>
      </c>
      <c r="C735" s="2" t="s">
        <v>181</v>
      </c>
      <c r="D735" s="2" t="s">
        <v>1298</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x14ac:dyDescent="0.25">
      <c r="B736" s="2" t="s">
        <v>26</v>
      </c>
      <c r="C736" s="2" t="s">
        <v>181</v>
      </c>
      <c r="D736" s="2" t="s">
        <v>1298</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x14ac:dyDescent="0.25">
      <c r="B737" s="2" t="s">
        <v>26</v>
      </c>
      <c r="C737" s="2" t="s">
        <v>181</v>
      </c>
      <c r="D737" s="2" t="s">
        <v>1298</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x14ac:dyDescent="0.25">
      <c r="B738" s="2" t="s">
        <v>26</v>
      </c>
      <c r="C738" s="2" t="s">
        <v>181</v>
      </c>
      <c r="D738" s="2" t="s">
        <v>1298</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x14ac:dyDescent="0.25">
      <c r="B739" s="2" t="s">
        <v>26</v>
      </c>
      <c r="C739" s="2" t="s">
        <v>181</v>
      </c>
      <c r="D739" s="2" t="s">
        <v>1298</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x14ac:dyDescent="0.25">
      <c r="B740" s="2" t="s">
        <v>26</v>
      </c>
      <c r="C740" s="2" t="s">
        <v>181</v>
      </c>
      <c r="D740" s="2" t="s">
        <v>1298</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x14ac:dyDescent="0.25">
      <c r="B741" s="2" t="s">
        <v>26</v>
      </c>
      <c r="C741" s="2" t="s">
        <v>181</v>
      </c>
      <c r="D741" s="2" t="s">
        <v>1298</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x14ac:dyDescent="0.25">
      <c r="B742" s="2" t="s">
        <v>26</v>
      </c>
      <c r="C742" s="2" t="s">
        <v>181</v>
      </c>
      <c r="D742" s="2" t="s">
        <v>1298</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x14ac:dyDescent="0.25">
      <c r="B743" s="2" t="s">
        <v>26</v>
      </c>
      <c r="C743" s="2" t="s">
        <v>181</v>
      </c>
      <c r="D743" s="2" t="s">
        <v>1298</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x14ac:dyDescent="0.25">
      <c r="B744" s="2" t="s">
        <v>26</v>
      </c>
      <c r="C744" s="2" t="s">
        <v>181</v>
      </c>
      <c r="D744" s="2" t="s">
        <v>1298</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x14ac:dyDescent="0.25">
      <c r="B745" s="2" t="s">
        <v>26</v>
      </c>
      <c r="C745" s="2" t="s">
        <v>181</v>
      </c>
      <c r="D745" s="2" t="s">
        <v>1298</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x14ac:dyDescent="0.25">
      <c r="B746" s="2" t="s">
        <v>26</v>
      </c>
      <c r="C746" s="2" t="s">
        <v>181</v>
      </c>
      <c r="D746" s="2" t="s">
        <v>1298</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x14ac:dyDescent="0.25">
      <c r="B747" s="2" t="s">
        <v>26</v>
      </c>
      <c r="C747" s="2" t="s">
        <v>181</v>
      </c>
      <c r="D747" s="2" t="s">
        <v>1298</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x14ac:dyDescent="0.25">
      <c r="B748" s="2" t="s">
        <v>26</v>
      </c>
      <c r="C748" s="2" t="s">
        <v>181</v>
      </c>
      <c r="D748" s="2" t="s">
        <v>1298</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x14ac:dyDescent="0.25">
      <c r="B749" s="2" t="s">
        <v>26</v>
      </c>
      <c r="C749" s="2" t="s">
        <v>181</v>
      </c>
      <c r="D749" s="2" t="s">
        <v>1298</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x14ac:dyDescent="0.25">
      <c r="B750" s="2" t="s">
        <v>26</v>
      </c>
      <c r="C750" s="2" t="s">
        <v>181</v>
      </c>
      <c r="D750" s="2" t="s">
        <v>1298</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x14ac:dyDescent="0.25">
      <c r="B751" s="2" t="s">
        <v>26</v>
      </c>
      <c r="C751" s="2" t="s">
        <v>181</v>
      </c>
      <c r="D751" s="2" t="s">
        <v>1298</v>
      </c>
      <c r="E751" s="2" t="s">
        <v>38</v>
      </c>
      <c r="F751" s="2" t="s">
        <v>182</v>
      </c>
      <c r="G751" s="2" t="s">
        <v>191</v>
      </c>
      <c r="H751" s="57" t="str">
        <f>Table1[[#This Row],[Tabela]]&amp;Table1[[#This Row],[Campo]]</f>
        <v>modesg_param_sfcs_taxon_europeiacod_regra</v>
      </c>
      <c r="I751" s="2" t="s">
        <v>1931</v>
      </c>
      <c r="J751" s="43">
        <f>VLOOKUP(Table1[[#This Row],[Status]],Auxiliar!$B$16:$C$24,2,0)</f>
        <v>2</v>
      </c>
      <c r="K751" s="2" t="s">
        <v>1263</v>
      </c>
      <c r="L751" s="29" t="s">
        <v>1250</v>
      </c>
      <c r="M751" s="21" t="s">
        <v>1259</v>
      </c>
      <c r="N751" s="48">
        <v>45603</v>
      </c>
      <c r="O751" s="21">
        <f>INDEX(Auxiliar!$D$5:$F$13,MATCH(Table1[[#This Row],[Tipologia_Testes]],Auxiliar!$B$5:$B$13,0),MATCH(Table1[[#This Row],[Complexidade]],Auxiliar!$D$4:$F$4,0))</f>
        <v>0.5</v>
      </c>
      <c r="P751" s="2" t="s">
        <v>1301</v>
      </c>
      <c r="Q751" s="2"/>
      <c r="R751" s="152">
        <v>45563</v>
      </c>
      <c r="S751" s="152"/>
      <c r="T751" s="152">
        <v>45563</v>
      </c>
      <c r="U751" s="152">
        <v>45603</v>
      </c>
      <c r="V751" s="152">
        <v>45604</v>
      </c>
      <c r="W751" s="2">
        <f>VLOOKUP(Table1[[#This Row],[Status]],Auxiliar!$B$16:$D$24,3,0)*Table1[[#This Row],[Estimação (horas)]]</f>
        <v>0.25</v>
      </c>
      <c r="X751" s="2"/>
    </row>
    <row r="752" spans="2:24" ht="17.7" hidden="1" customHeight="1" x14ac:dyDescent="0.25">
      <c r="B752" s="2" t="s">
        <v>26</v>
      </c>
      <c r="C752" s="2" t="s">
        <v>181</v>
      </c>
      <c r="D752" s="2" t="s">
        <v>1298</v>
      </c>
      <c r="E752" s="2" t="s">
        <v>38</v>
      </c>
      <c r="F752" s="2" t="s">
        <v>182</v>
      </c>
      <c r="G752" s="2" t="s">
        <v>191</v>
      </c>
      <c r="H752" s="57" t="str">
        <f>Table1[[#This Row],[Tabela]]&amp;Table1[[#This Row],[Campo]]</f>
        <v>modesg_param_sfcs_taxon_europeiacod_regra</v>
      </c>
      <c r="I752" s="2" t="s">
        <v>1931</v>
      </c>
      <c r="J752" s="43">
        <f>VLOOKUP(Table1[[#This Row],[Status]],Auxiliar!$B$16:$C$24,2,0)</f>
        <v>2</v>
      </c>
      <c r="K752" s="2" t="s">
        <v>1255</v>
      </c>
      <c r="L752" s="29" t="s">
        <v>1250</v>
      </c>
      <c r="M752" s="21" t="s">
        <v>1259</v>
      </c>
      <c r="N752" s="48">
        <v>45603</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0.05</v>
      </c>
      <c r="X752" s="2"/>
    </row>
    <row r="753" spans="2:24" ht="17.7" hidden="1" customHeight="1" x14ac:dyDescent="0.25">
      <c r="B753" s="2" t="s">
        <v>26</v>
      </c>
      <c r="C753" s="2" t="s">
        <v>181</v>
      </c>
      <c r="D753" s="2" t="s">
        <v>1298</v>
      </c>
      <c r="E753" s="2" t="s">
        <v>38</v>
      </c>
      <c r="F753" s="2" t="s">
        <v>182</v>
      </c>
      <c r="G753" s="2" t="s">
        <v>192</v>
      </c>
      <c r="H753" s="57" t="str">
        <f>Table1[[#This Row],[Tabela]]&amp;Table1[[#This Row],[Campo]]</f>
        <v>modesg_param_sfcs_taxon_europeiacomite</v>
      </c>
      <c r="I753" s="2" t="s">
        <v>1931</v>
      </c>
      <c r="J753" s="43">
        <f>VLOOKUP(Table1[[#This Row],[Status]],Auxiliar!$B$16:$C$24,2,0)</f>
        <v>2</v>
      </c>
      <c r="K753" s="2" t="s">
        <v>1263</v>
      </c>
      <c r="L753" s="29" t="s">
        <v>1258</v>
      </c>
      <c r="M753" s="21" t="s">
        <v>1259</v>
      </c>
      <c r="N753" s="48">
        <v>45603</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0.25</v>
      </c>
      <c r="X753" s="2"/>
    </row>
    <row r="754" spans="2:24" ht="17.7" hidden="1" customHeight="1" x14ac:dyDescent="0.25">
      <c r="B754" s="2" t="s">
        <v>26</v>
      </c>
      <c r="C754" s="2" t="s">
        <v>181</v>
      </c>
      <c r="D754" s="2" t="s">
        <v>1298</v>
      </c>
      <c r="E754" s="2" t="s">
        <v>38</v>
      </c>
      <c r="F754" s="2" t="s">
        <v>182</v>
      </c>
      <c r="G754" s="2" t="s">
        <v>192</v>
      </c>
      <c r="H754" s="57" t="str">
        <f>Table1[[#This Row],[Tabela]]&amp;Table1[[#This Row],[Campo]]</f>
        <v>modesg_param_sfcs_taxon_europeiacomite</v>
      </c>
      <c r="I754" s="2" t="s">
        <v>1931</v>
      </c>
      <c r="J754" s="43">
        <f>VLOOKUP(Table1[[#This Row],[Status]],Auxiliar!$B$16:$C$24,2,0)</f>
        <v>2</v>
      </c>
      <c r="K754" s="2" t="s">
        <v>1255</v>
      </c>
      <c r="L754" s="29" t="s">
        <v>1258</v>
      </c>
      <c r="M754" s="21" t="s">
        <v>1259</v>
      </c>
      <c r="N754" s="48">
        <v>45603</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0.05</v>
      </c>
      <c r="X754" s="2"/>
    </row>
    <row r="755" spans="2:24" ht="17.7" hidden="1" customHeight="1" x14ac:dyDescent="0.25">
      <c r="B755" s="2" t="s">
        <v>26</v>
      </c>
      <c r="C755" s="2" t="s">
        <v>181</v>
      </c>
      <c r="D755" s="2" t="s">
        <v>1298</v>
      </c>
      <c r="E755" s="2" t="s">
        <v>38</v>
      </c>
      <c r="F755" s="2" t="s">
        <v>182</v>
      </c>
      <c r="G755" s="2" t="s">
        <v>193</v>
      </c>
      <c r="H755" s="57" t="str">
        <f>Table1[[#This Row],[Tabela]]&amp;Table1[[#This Row],[Campo]]</f>
        <v>modesg_param_sfcs_taxon_europeiadata_aprvc</v>
      </c>
      <c r="I755" s="2" t="s">
        <v>1931</v>
      </c>
      <c r="J755" s="43">
        <f>VLOOKUP(Table1[[#This Row],[Status]],Auxiliar!$B$16:$C$24,2,0)</f>
        <v>2</v>
      </c>
      <c r="K755" s="2" t="s">
        <v>1263</v>
      </c>
      <c r="L755" s="29" t="s">
        <v>1258</v>
      </c>
      <c r="M755" s="21" t="s">
        <v>1259</v>
      </c>
      <c r="N755" s="48">
        <v>45603</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0.25</v>
      </c>
      <c r="X755" s="2"/>
    </row>
    <row r="756" spans="2:24" ht="17.7" hidden="1" customHeight="1" x14ac:dyDescent="0.25">
      <c r="B756" s="2" t="s">
        <v>26</v>
      </c>
      <c r="C756" s="2" t="s">
        <v>181</v>
      </c>
      <c r="D756" s="2" t="s">
        <v>1298</v>
      </c>
      <c r="E756" s="2" t="s">
        <v>38</v>
      </c>
      <c r="F756" s="2" t="s">
        <v>182</v>
      </c>
      <c r="G756" s="2" t="s">
        <v>193</v>
      </c>
      <c r="H756" s="57" t="str">
        <f>Table1[[#This Row],[Tabela]]&amp;Table1[[#This Row],[Campo]]</f>
        <v>modesg_param_sfcs_taxon_europeiadata_aprvc</v>
      </c>
      <c r="I756" s="2" t="s">
        <v>1931</v>
      </c>
      <c r="J756" s="43">
        <f>VLOOKUP(Table1[[#This Row],[Status]],Auxiliar!$B$16:$C$24,2,0)</f>
        <v>2</v>
      </c>
      <c r="K756" s="2" t="s">
        <v>1255</v>
      </c>
      <c r="L756" s="29" t="s">
        <v>1258</v>
      </c>
      <c r="M756" s="21" t="s">
        <v>1259</v>
      </c>
      <c r="N756" s="48">
        <v>45603</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0.05</v>
      </c>
      <c r="X756" s="2"/>
    </row>
    <row r="757" spans="2:24" ht="17.7" hidden="1" customHeight="1" x14ac:dyDescent="0.25">
      <c r="B757" s="2" t="s">
        <v>26</v>
      </c>
      <c r="C757" s="2" t="s">
        <v>181</v>
      </c>
      <c r="D757" s="2" t="s">
        <v>1298</v>
      </c>
      <c r="E757" s="2" t="s">
        <v>38</v>
      </c>
      <c r="F757" s="2" t="s">
        <v>182</v>
      </c>
      <c r="G757" s="2" t="s">
        <v>194</v>
      </c>
      <c r="H757" s="57" t="str">
        <f>Table1[[#This Row],[Tabela]]&amp;Table1[[#This Row],[Campo]]</f>
        <v>modesg_param_sfcs_taxon_europeiadata_final</v>
      </c>
      <c r="I757" s="2" t="s">
        <v>1931</v>
      </c>
      <c r="J757" s="43">
        <f>VLOOKUP(Table1[[#This Row],[Status]],Auxiliar!$B$16:$C$24,2,0)</f>
        <v>2</v>
      </c>
      <c r="K757" s="2" t="s">
        <v>1263</v>
      </c>
      <c r="L757" s="29" t="s">
        <v>1258</v>
      </c>
      <c r="M757" s="21" t="s">
        <v>1259</v>
      </c>
      <c r="N757" s="48">
        <v>45603</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0.25</v>
      </c>
      <c r="X757" s="2"/>
    </row>
    <row r="758" spans="2:24" ht="17.7" hidden="1" customHeight="1" x14ac:dyDescent="0.25">
      <c r="B758" s="2" t="s">
        <v>26</v>
      </c>
      <c r="C758" s="2" t="s">
        <v>181</v>
      </c>
      <c r="D758" s="2" t="s">
        <v>1298</v>
      </c>
      <c r="E758" s="2" t="s">
        <v>38</v>
      </c>
      <c r="F758" s="2" t="s">
        <v>182</v>
      </c>
      <c r="G758" s="2" t="s">
        <v>194</v>
      </c>
      <c r="H758" s="57" t="str">
        <f>Table1[[#This Row],[Tabela]]&amp;Table1[[#This Row],[Campo]]</f>
        <v>modesg_param_sfcs_taxon_europeiadata_final</v>
      </c>
      <c r="I758" s="2" t="s">
        <v>1931</v>
      </c>
      <c r="J758" s="43">
        <f>VLOOKUP(Table1[[#This Row],[Status]],Auxiliar!$B$16:$C$24,2,0)</f>
        <v>2</v>
      </c>
      <c r="K758" s="2" t="s">
        <v>1255</v>
      </c>
      <c r="L758" s="29" t="s">
        <v>1258</v>
      </c>
      <c r="M758" s="21" t="s">
        <v>1259</v>
      </c>
      <c r="N758" s="48">
        <v>45603</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0.05</v>
      </c>
      <c r="X758" s="2"/>
    </row>
    <row r="759" spans="2:24" ht="17.7" hidden="1" customHeight="1" x14ac:dyDescent="0.25">
      <c r="B759" s="2" t="s">
        <v>26</v>
      </c>
      <c r="C759" s="2" t="s">
        <v>181</v>
      </c>
      <c r="D759" s="2" t="s">
        <v>1298</v>
      </c>
      <c r="E759" s="2" t="s">
        <v>38</v>
      </c>
      <c r="F759" s="2" t="s">
        <v>182</v>
      </c>
      <c r="G759" s="2" t="s">
        <v>195</v>
      </c>
      <c r="H759" s="57" t="str">
        <f>Table1[[#This Row],[Tabela]]&amp;Table1[[#This Row],[Campo]]</f>
        <v>modesg_param_sfcs_taxon_europeiadata_inicial</v>
      </c>
      <c r="I759" s="2" t="s">
        <v>1931</v>
      </c>
      <c r="J759" s="43">
        <f>VLOOKUP(Table1[[#This Row],[Status]],Auxiliar!$B$16:$C$24,2,0)</f>
        <v>2</v>
      </c>
      <c r="K759" s="2" t="s">
        <v>1263</v>
      </c>
      <c r="L759" s="29" t="s">
        <v>1258</v>
      </c>
      <c r="M759" s="21" t="s">
        <v>1259</v>
      </c>
      <c r="N759" s="48">
        <v>45603</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0.25</v>
      </c>
      <c r="X759" s="2"/>
    </row>
    <row r="760" spans="2:24" ht="17.7" hidden="1" customHeight="1" x14ac:dyDescent="0.25">
      <c r="B760" s="2" t="s">
        <v>26</v>
      </c>
      <c r="C760" s="2" t="s">
        <v>181</v>
      </c>
      <c r="D760" s="2" t="s">
        <v>1298</v>
      </c>
      <c r="E760" s="2" t="s">
        <v>38</v>
      </c>
      <c r="F760" s="2" t="s">
        <v>182</v>
      </c>
      <c r="G760" s="2" t="s">
        <v>195</v>
      </c>
      <c r="H760" s="57" t="str">
        <f>Table1[[#This Row],[Tabela]]&amp;Table1[[#This Row],[Campo]]</f>
        <v>modesg_param_sfcs_taxon_europeiadata_inicial</v>
      </c>
      <c r="I760" s="2" t="s">
        <v>1931</v>
      </c>
      <c r="J760" s="43">
        <f>VLOOKUP(Table1[[#This Row],[Status]],Auxiliar!$B$16:$C$24,2,0)</f>
        <v>2</v>
      </c>
      <c r="K760" s="2" t="s">
        <v>1255</v>
      </c>
      <c r="L760" s="29" t="s">
        <v>1258</v>
      </c>
      <c r="M760" s="21" t="s">
        <v>1259</v>
      </c>
      <c r="N760" s="48">
        <v>45603</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0.05</v>
      </c>
      <c r="X760" s="2"/>
    </row>
    <row r="761" spans="2:24" ht="17.7" hidden="1" customHeight="1" x14ac:dyDescent="0.25">
      <c r="B761" s="2" t="s">
        <v>26</v>
      </c>
      <c r="C761" s="2" t="s">
        <v>181</v>
      </c>
      <c r="D761" s="2" t="s">
        <v>1298</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x14ac:dyDescent="0.25">
      <c r="B762" s="2" t="s">
        <v>26</v>
      </c>
      <c r="C762" s="2" t="s">
        <v>181</v>
      </c>
      <c r="D762" s="2" t="s">
        <v>1298</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x14ac:dyDescent="0.25">
      <c r="B763" s="2" t="s">
        <v>26</v>
      </c>
      <c r="C763" s="2" t="s">
        <v>181</v>
      </c>
      <c r="D763" s="2" t="s">
        <v>1298</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x14ac:dyDescent="0.25">
      <c r="B764" s="2" t="s">
        <v>26</v>
      </c>
      <c r="C764" s="2" t="s">
        <v>181</v>
      </c>
      <c r="D764" s="2" t="s">
        <v>1298</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x14ac:dyDescent="0.25">
      <c r="B765" s="2" t="s">
        <v>26</v>
      </c>
      <c r="C765" s="2" t="s">
        <v>181</v>
      </c>
      <c r="D765" s="2" t="s">
        <v>1298</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x14ac:dyDescent="0.25">
      <c r="B766" s="2" t="s">
        <v>26</v>
      </c>
      <c r="C766" s="2" t="s">
        <v>181</v>
      </c>
      <c r="D766" s="2" t="s">
        <v>1298</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x14ac:dyDescent="0.25">
      <c r="B767" s="2" t="s">
        <v>26</v>
      </c>
      <c r="C767" s="2" t="s">
        <v>181</v>
      </c>
      <c r="D767" s="2" t="s">
        <v>1298</v>
      </c>
      <c r="E767" s="2" t="s">
        <v>38</v>
      </c>
      <c r="F767" s="2" t="s">
        <v>182</v>
      </c>
      <c r="G767" s="2" t="s">
        <v>199</v>
      </c>
      <c r="H767" s="57" t="str">
        <f>Table1[[#This Row],[Tabela]]&amp;Table1[[#This Row],[Campo]]</f>
        <v>modesg_param_sfcs_taxon_europeiaflag_project_finance</v>
      </c>
      <c r="I767" s="2" t="s">
        <v>1931</v>
      </c>
      <c r="J767" s="43">
        <f>VLOOKUP(Table1[[#This Row],[Status]],Auxiliar!$B$16:$C$24,2,0)</f>
        <v>2</v>
      </c>
      <c r="K767" s="2" t="s">
        <v>1255</v>
      </c>
      <c r="L767" s="2" t="s">
        <v>655</v>
      </c>
      <c r="M767" s="21" t="s">
        <v>1259</v>
      </c>
      <c r="N767" s="48">
        <v>45603</v>
      </c>
      <c r="O767" s="21">
        <f>INDEX(Auxiliar!$D$5:$F$13,MATCH(Table1[[#This Row],[Tipologia_Testes]],Auxiliar!$B$5:$B$13,0),MATCH(Table1[[#This Row],[Complexidade]],Auxiliar!$D$4:$F$4,0))</f>
        <v>0.1</v>
      </c>
      <c r="P767" s="2" t="s">
        <v>1302</v>
      </c>
      <c r="Q767" s="2"/>
      <c r="R767" s="152">
        <v>45563</v>
      </c>
      <c r="S767" s="152"/>
      <c r="T767" s="152">
        <v>45563</v>
      </c>
      <c r="U767" s="152">
        <v>45603</v>
      </c>
      <c r="V767" s="152">
        <v>45604</v>
      </c>
      <c r="W767" s="2">
        <f>VLOOKUP(Table1[[#This Row],[Status]],Auxiliar!$B$16:$D$24,3,0)*Table1[[#This Row],[Estimação (horas)]]</f>
        <v>0.05</v>
      </c>
      <c r="X767" s="2"/>
    </row>
    <row r="768" spans="2:24" ht="17.7" hidden="1" customHeight="1" x14ac:dyDescent="0.25">
      <c r="B768" s="2" t="s">
        <v>26</v>
      </c>
      <c r="C768" s="2" t="s">
        <v>181</v>
      </c>
      <c r="D768" s="2" t="s">
        <v>1298</v>
      </c>
      <c r="E768" s="2" t="s">
        <v>38</v>
      </c>
      <c r="F768" s="2" t="s">
        <v>182</v>
      </c>
      <c r="G768" s="2" t="s">
        <v>199</v>
      </c>
      <c r="H768" s="57" t="str">
        <f>Table1[[#This Row],[Tabela]]&amp;Table1[[#This Row],[Campo]]</f>
        <v>modesg_param_sfcs_taxon_europeiaflag_project_finance</v>
      </c>
      <c r="I768" s="2" t="s">
        <v>1931</v>
      </c>
      <c r="J768" s="43">
        <f>VLOOKUP(Table1[[#This Row],[Status]],Auxiliar!$B$16:$C$24,2,0)</f>
        <v>2</v>
      </c>
      <c r="K768" s="2" t="s">
        <v>1263</v>
      </c>
      <c r="L768" s="2" t="s">
        <v>655</v>
      </c>
      <c r="M768" s="21" t="s">
        <v>1259</v>
      </c>
      <c r="N768" s="48">
        <v>45603</v>
      </c>
      <c r="O768" s="21">
        <f>INDEX(Auxiliar!$D$5:$F$13,MATCH(Table1[[#This Row],[Tipologia_Testes]],Auxiliar!$B$5:$B$13,0),MATCH(Table1[[#This Row],[Complexidade]],Auxiliar!$D$4:$F$4,0))</f>
        <v>0.5</v>
      </c>
      <c r="P768" s="2" t="s">
        <v>1302</v>
      </c>
      <c r="Q768" s="2"/>
      <c r="R768" s="152">
        <v>45563</v>
      </c>
      <c r="S768" s="152"/>
      <c r="T768" s="152">
        <v>45563</v>
      </c>
      <c r="U768" s="152">
        <v>45603</v>
      </c>
      <c r="V768" s="152">
        <v>45604</v>
      </c>
      <c r="W768" s="2">
        <f>VLOOKUP(Table1[[#This Row],[Status]],Auxiliar!$B$16:$D$24,3,0)*Table1[[#This Row],[Estimação (horas)]]</f>
        <v>0.25</v>
      </c>
      <c r="X768" s="2"/>
    </row>
    <row r="769" spans="2:24" ht="17.7" hidden="1" customHeight="1" x14ac:dyDescent="0.25">
      <c r="B769" s="2" t="s">
        <v>26</v>
      </c>
      <c r="C769" s="2" t="s">
        <v>181</v>
      </c>
      <c r="D769" s="2" t="s">
        <v>1298</v>
      </c>
      <c r="E769" s="2" t="s">
        <v>38</v>
      </c>
      <c r="F769" s="2" t="s">
        <v>182</v>
      </c>
      <c r="G769" s="2" t="s">
        <v>200</v>
      </c>
      <c r="H769" s="57" t="str">
        <f>Table1[[#This Row],[Tabela]]&amp;Table1[[#This Row],[Campo]]</f>
        <v>modesg_param_sfcs_taxon_europeiacfinalidad</v>
      </c>
      <c r="I769" s="2" t="s">
        <v>1931</v>
      </c>
      <c r="J769" s="43">
        <f>VLOOKUP(Table1[[#This Row],[Status]],Auxiliar!$B$16:$C$24,2,0)</f>
        <v>2</v>
      </c>
      <c r="K769" s="2" t="s">
        <v>1255</v>
      </c>
      <c r="L769" s="2" t="s">
        <v>655</v>
      </c>
      <c r="M769" s="21" t="s">
        <v>1260</v>
      </c>
      <c r="N769" s="48">
        <v>45603</v>
      </c>
      <c r="O769" s="21">
        <f>INDEX(Auxiliar!$D$5:$F$13,MATCH(Table1[[#This Row],[Tipologia_Testes]],Auxiliar!$B$5:$B$13,0),MATCH(Table1[[#This Row],[Complexidade]],Auxiliar!$D$4:$F$4,0))</f>
        <v>0.1</v>
      </c>
      <c r="P769" s="2" t="s">
        <v>1303</v>
      </c>
      <c r="Q769" s="2"/>
      <c r="R769" s="152">
        <v>45563</v>
      </c>
      <c r="S769" s="152"/>
      <c r="T769" s="152">
        <v>45563</v>
      </c>
      <c r="U769" s="152">
        <v>45603</v>
      </c>
      <c r="V769" s="152">
        <v>45604</v>
      </c>
      <c r="W769" s="2">
        <f>VLOOKUP(Table1[[#This Row],[Status]],Auxiliar!$B$16:$D$24,3,0)*Table1[[#This Row],[Estimação (horas)]]</f>
        <v>0.05</v>
      </c>
      <c r="X769" s="2"/>
    </row>
    <row r="770" spans="2:24" ht="17.7" hidden="1" customHeight="1" x14ac:dyDescent="0.25">
      <c r="B770" s="2" t="s">
        <v>26</v>
      </c>
      <c r="C770" s="2" t="s">
        <v>181</v>
      </c>
      <c r="D770" s="2" t="s">
        <v>1298</v>
      </c>
      <c r="E770" s="2" t="s">
        <v>38</v>
      </c>
      <c r="F770" s="2" t="s">
        <v>182</v>
      </c>
      <c r="G770" s="2" t="s">
        <v>200</v>
      </c>
      <c r="H770" s="57" t="str">
        <f>Table1[[#This Row],[Tabela]]&amp;Table1[[#This Row],[Campo]]</f>
        <v>modesg_param_sfcs_taxon_europeiacfinalidad</v>
      </c>
      <c r="I770" s="2" t="s">
        <v>1931</v>
      </c>
      <c r="J770" s="43">
        <f>VLOOKUP(Table1[[#This Row],[Status]],Auxiliar!$B$16:$C$24,2,0)</f>
        <v>2</v>
      </c>
      <c r="K770" s="2" t="s">
        <v>1263</v>
      </c>
      <c r="L770" s="2" t="s">
        <v>655</v>
      </c>
      <c r="M770" s="21" t="s">
        <v>1260</v>
      </c>
      <c r="N770" s="48">
        <v>45603</v>
      </c>
      <c r="O770" s="21">
        <f>INDEX(Auxiliar!$D$5:$F$13,MATCH(Table1[[#This Row],[Tipologia_Testes]],Auxiliar!$B$5:$B$13,0),MATCH(Table1[[#This Row],[Complexidade]],Auxiliar!$D$4:$F$4,0))</f>
        <v>0.5</v>
      </c>
      <c r="P770" s="2" t="s">
        <v>1303</v>
      </c>
      <c r="Q770" s="2"/>
      <c r="R770" s="152">
        <v>45563</v>
      </c>
      <c r="S770" s="152"/>
      <c r="T770" s="152">
        <v>45563</v>
      </c>
      <c r="U770" s="152">
        <v>45603</v>
      </c>
      <c r="V770" s="152">
        <v>45604</v>
      </c>
      <c r="W770" s="2">
        <f>VLOOKUP(Table1[[#This Row],[Status]],Auxiliar!$B$16:$D$24,3,0)*Table1[[#This Row],[Estimação (horas)]]</f>
        <v>0.25</v>
      </c>
      <c r="X770" s="2"/>
    </row>
    <row r="771" spans="2:24" ht="17.7" hidden="1" customHeight="1" x14ac:dyDescent="0.25">
      <c r="B771" s="2" t="s">
        <v>26</v>
      </c>
      <c r="C771" s="2" t="s">
        <v>181</v>
      </c>
      <c r="D771" s="2" t="s">
        <v>1298</v>
      </c>
      <c r="E771" s="2" t="s">
        <v>38</v>
      </c>
      <c r="F771" s="2" t="s">
        <v>182</v>
      </c>
      <c r="G771" s="2" t="s">
        <v>201</v>
      </c>
      <c r="H771" s="57" t="str">
        <f>Table1[[#This Row],[Tabela]]&amp;Table1[[#This Row],[Campo]]</f>
        <v>modesg_param_sfcs_taxon_europeiatipo_combust</v>
      </c>
      <c r="I771" s="2" t="s">
        <v>1931</v>
      </c>
      <c r="J771" s="43">
        <f>VLOOKUP(Table1[[#This Row],[Status]],Auxiliar!$B$16:$C$24,2,0)</f>
        <v>2</v>
      </c>
      <c r="K771" s="2" t="s">
        <v>1263</v>
      </c>
      <c r="L771" s="2" t="s">
        <v>655</v>
      </c>
      <c r="M771" s="21" t="s">
        <v>1259</v>
      </c>
      <c r="N771" s="48">
        <v>45603</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0.25</v>
      </c>
      <c r="X771" s="2"/>
    </row>
    <row r="772" spans="2:24" ht="17.7" hidden="1" customHeight="1" x14ac:dyDescent="0.25">
      <c r="B772" s="2" t="s">
        <v>26</v>
      </c>
      <c r="C772" s="2" t="s">
        <v>181</v>
      </c>
      <c r="D772" s="2" t="s">
        <v>1298</v>
      </c>
      <c r="E772" s="2" t="s">
        <v>38</v>
      </c>
      <c r="F772" s="2" t="s">
        <v>182</v>
      </c>
      <c r="G772" s="2" t="s">
        <v>201</v>
      </c>
      <c r="H772" s="57" t="str">
        <f>Table1[[#This Row],[Tabela]]&amp;Table1[[#This Row],[Campo]]</f>
        <v>modesg_param_sfcs_taxon_europeiatipo_combust</v>
      </c>
      <c r="I772" s="2" t="s">
        <v>1931</v>
      </c>
      <c r="J772" s="43">
        <f>VLOOKUP(Table1[[#This Row],[Status]],Auxiliar!$B$16:$C$24,2,0)</f>
        <v>2</v>
      </c>
      <c r="K772" s="2" t="s">
        <v>1255</v>
      </c>
      <c r="L772" s="2" t="s">
        <v>655</v>
      </c>
      <c r="M772" s="21" t="s">
        <v>1259</v>
      </c>
      <c r="N772" s="48">
        <v>45603</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0.05</v>
      </c>
      <c r="X772" s="2"/>
    </row>
    <row r="773" spans="2:24" ht="17.7" hidden="1" customHeight="1" x14ac:dyDescent="0.25">
      <c r="B773" s="2" t="s">
        <v>26</v>
      </c>
      <c r="C773" s="2" t="s">
        <v>181</v>
      </c>
      <c r="D773" s="2" t="s">
        <v>1298</v>
      </c>
      <c r="E773" s="2" t="s">
        <v>38</v>
      </c>
      <c r="F773" s="2" t="s">
        <v>182</v>
      </c>
      <c r="G773" s="2" t="s">
        <v>202</v>
      </c>
      <c r="H773" s="57" t="str">
        <f>Table1[[#This Row],[Tabela]]&amp;Table1[[#This Row],[Campo]]</f>
        <v>modesg_param_sfcs_taxon_europeiamontante_pndrc</v>
      </c>
      <c r="I773" s="2" t="s">
        <v>1931</v>
      </c>
      <c r="J773" s="43">
        <f>VLOOKUP(Table1[[#This Row],[Status]],Auxiliar!$B$16:$C$24,2,0)</f>
        <v>2</v>
      </c>
      <c r="K773" s="2" t="s">
        <v>1263</v>
      </c>
      <c r="L773" s="2" t="s">
        <v>1258</v>
      </c>
      <c r="M773" s="21" t="s">
        <v>1259</v>
      </c>
      <c r="N773" s="48">
        <v>45603</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0.25</v>
      </c>
      <c r="X773" s="2"/>
    </row>
    <row r="774" spans="2:24" ht="17.7" hidden="1" customHeight="1" x14ac:dyDescent="0.25">
      <c r="B774" s="2" t="s">
        <v>26</v>
      </c>
      <c r="C774" s="2" t="s">
        <v>181</v>
      </c>
      <c r="D774" s="2" t="s">
        <v>1298</v>
      </c>
      <c r="E774" s="2" t="s">
        <v>38</v>
      </c>
      <c r="F774" s="2" t="s">
        <v>182</v>
      </c>
      <c r="G774" s="2" t="s">
        <v>202</v>
      </c>
      <c r="H774" s="57" t="str">
        <f>Table1[[#This Row],[Tabela]]&amp;Table1[[#This Row],[Campo]]</f>
        <v>modesg_param_sfcs_taxon_europeiamontante_pndrc</v>
      </c>
      <c r="I774" s="2" t="s">
        <v>1931</v>
      </c>
      <c r="J774" s="43">
        <f>VLOOKUP(Table1[[#This Row],[Status]],Auxiliar!$B$16:$C$24,2,0)</f>
        <v>2</v>
      </c>
      <c r="K774" s="2" t="s">
        <v>1255</v>
      </c>
      <c r="L774" s="2" t="s">
        <v>1258</v>
      </c>
      <c r="M774" s="21" t="s">
        <v>1259</v>
      </c>
      <c r="N774" s="48">
        <v>45603</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0.05</v>
      </c>
      <c r="X774" s="2"/>
    </row>
    <row r="775" spans="2:24" ht="69.599999999999994" hidden="1" customHeight="1" x14ac:dyDescent="0.25">
      <c r="B775" s="2" t="s">
        <v>26</v>
      </c>
      <c r="C775" s="2" t="s">
        <v>181</v>
      </c>
      <c r="D775" s="2" t="s">
        <v>1298</v>
      </c>
      <c r="E775" s="2" t="s">
        <v>38</v>
      </c>
      <c r="F775" s="2" t="s">
        <v>182</v>
      </c>
      <c r="G775" s="2" t="s">
        <v>203</v>
      </c>
      <c r="H775" s="57" t="str">
        <f>Table1[[#This Row],[Tabela]]&amp;Table1[[#This Row],[Campo]]</f>
        <v>modesg_param_sfcs_taxon_europeianome_ctgr_sfcs</v>
      </c>
      <c r="I775" s="2" t="s">
        <v>1931</v>
      </c>
      <c r="J775" s="43">
        <f>VLOOKUP(Table1[[#This Row],[Status]],Auxiliar!$B$16:$C$24,2,0)</f>
        <v>2</v>
      </c>
      <c r="K775" s="2" t="s">
        <v>1263</v>
      </c>
      <c r="L775" s="2" t="s">
        <v>1258</v>
      </c>
      <c r="M775" s="21" t="s">
        <v>1259</v>
      </c>
      <c r="N775" s="48">
        <v>45603</v>
      </c>
      <c r="O775" s="21">
        <f>INDEX(Auxiliar!$D$5:$F$13,MATCH(Table1[[#This Row],[Tipologia_Testes]],Auxiliar!$B$5:$B$13,0),MATCH(Table1[[#This Row],[Complexidade]],Auxiliar!$D$4:$F$4,0))</f>
        <v>0.5</v>
      </c>
      <c r="P775" s="23" t="s">
        <v>1304</v>
      </c>
      <c r="Q775" s="2"/>
      <c r="R775" s="152">
        <v>45261</v>
      </c>
      <c r="S775" s="152"/>
      <c r="T775" s="152">
        <v>45563</v>
      </c>
      <c r="U775" s="152">
        <v>45603</v>
      </c>
      <c r="V775" s="152">
        <v>45604</v>
      </c>
      <c r="W775" s="2">
        <f>VLOOKUP(Table1[[#This Row],[Status]],Auxiliar!$B$16:$D$24,3,0)*Table1[[#This Row],[Estimação (horas)]]</f>
        <v>0.25</v>
      </c>
      <c r="X775" s="2"/>
    </row>
    <row r="776" spans="2:24" ht="69.599999999999994" hidden="1" customHeight="1" x14ac:dyDescent="0.25">
      <c r="B776" s="2" t="s">
        <v>26</v>
      </c>
      <c r="C776" s="2" t="s">
        <v>181</v>
      </c>
      <c r="D776" s="2" t="s">
        <v>1298</v>
      </c>
      <c r="E776" s="2" t="s">
        <v>38</v>
      </c>
      <c r="F776" s="2" t="s">
        <v>182</v>
      </c>
      <c r="G776" s="2" t="s">
        <v>203</v>
      </c>
      <c r="H776" s="57" t="str">
        <f>Table1[[#This Row],[Tabela]]&amp;Table1[[#This Row],[Campo]]</f>
        <v>modesg_param_sfcs_taxon_europeianome_ctgr_sfcs</v>
      </c>
      <c r="I776" s="2" t="s">
        <v>1931</v>
      </c>
      <c r="J776" s="43">
        <f>VLOOKUP(Table1[[#This Row],[Status]],Auxiliar!$B$16:$C$24,2,0)</f>
        <v>2</v>
      </c>
      <c r="K776" s="2" t="s">
        <v>1255</v>
      </c>
      <c r="L776" s="29" t="s">
        <v>1258</v>
      </c>
      <c r="M776" s="21" t="s">
        <v>1259</v>
      </c>
      <c r="N776" s="48">
        <v>45603</v>
      </c>
      <c r="O776" s="21">
        <f>INDEX(Auxiliar!$D$5:$F$13,MATCH(Table1[[#This Row],[Tipologia_Testes]],Auxiliar!$B$5:$B$13,0),MATCH(Table1[[#This Row],[Complexidade]],Auxiliar!$D$4:$F$4,0))</f>
        <v>0.1</v>
      </c>
      <c r="P776" s="23" t="s">
        <v>1304</v>
      </c>
      <c r="Q776" s="2"/>
      <c r="R776" s="152">
        <v>45261</v>
      </c>
      <c r="S776" s="152"/>
      <c r="T776" s="152">
        <v>45563</v>
      </c>
      <c r="U776" s="152">
        <v>45603</v>
      </c>
      <c r="V776" s="152">
        <v>45604</v>
      </c>
      <c r="W776" s="2">
        <f>VLOOKUP(Table1[[#This Row],[Status]],Auxiliar!$B$16:$D$24,3,0)*Table1[[#This Row],[Estimação (horas)]]</f>
        <v>0.05</v>
      </c>
      <c r="X776" s="2"/>
    </row>
    <row r="777" spans="2:24" ht="17.7" hidden="1" customHeight="1" x14ac:dyDescent="0.25">
      <c r="B777" s="2" t="s">
        <v>26</v>
      </c>
      <c r="C777" s="2" t="s">
        <v>181</v>
      </c>
      <c r="D777" s="2" t="s">
        <v>1298</v>
      </c>
      <c r="E777" s="2" t="s">
        <v>38</v>
      </c>
      <c r="F777" s="2" t="s">
        <v>182</v>
      </c>
      <c r="G777" s="2" t="s">
        <v>204</v>
      </c>
      <c r="H777" s="57" t="str">
        <f>Table1[[#This Row],[Tabela]]&amp;Table1[[#This Row],[Campo]]</f>
        <v>modesg_param_sfcs_taxon_europeianome_general_specific_purpose</v>
      </c>
      <c r="I777" s="2" t="s">
        <v>1931</v>
      </c>
      <c r="J777" s="55">
        <f>VLOOKUP(Table1[[#This Row],[Status]],Auxiliar!$B$16:$C$24,2,0)</f>
        <v>2</v>
      </c>
      <c r="K777" s="2" t="s">
        <v>1263</v>
      </c>
      <c r="L777" s="29" t="s">
        <v>1258</v>
      </c>
      <c r="M777" s="21" t="s">
        <v>1259</v>
      </c>
      <c r="N777" s="48">
        <v>45603</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0.25</v>
      </c>
      <c r="X777" s="2"/>
    </row>
    <row r="778" spans="2:24" ht="17.7" hidden="1" customHeight="1" x14ac:dyDescent="0.25">
      <c r="B778" s="2" t="s">
        <v>26</v>
      </c>
      <c r="C778" s="2" t="s">
        <v>181</v>
      </c>
      <c r="D778" s="2" t="s">
        <v>1298</v>
      </c>
      <c r="E778" s="2" t="s">
        <v>38</v>
      </c>
      <c r="F778" s="2" t="s">
        <v>182</v>
      </c>
      <c r="G778" s="2" t="s">
        <v>204</v>
      </c>
      <c r="H778" s="57" t="str">
        <f>Table1[[#This Row],[Tabela]]&amp;Table1[[#This Row],[Campo]]</f>
        <v>modesg_param_sfcs_taxon_europeianome_general_specific_purpose</v>
      </c>
      <c r="I778" s="2" t="s">
        <v>1931</v>
      </c>
      <c r="J778" s="55">
        <f>VLOOKUP(Table1[[#This Row],[Status]],Auxiliar!$B$16:$C$24,2,0)</f>
        <v>2</v>
      </c>
      <c r="K778" s="2" t="s">
        <v>1255</v>
      </c>
      <c r="L778" s="29" t="s">
        <v>1258</v>
      </c>
      <c r="M778" s="21" t="s">
        <v>1259</v>
      </c>
      <c r="N778" s="48">
        <v>45603</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0.05</v>
      </c>
      <c r="X778" s="2"/>
    </row>
    <row r="779" spans="2:24" ht="17.7" hidden="1" customHeight="1" x14ac:dyDescent="0.25">
      <c r="B779" s="2" t="s">
        <v>26</v>
      </c>
      <c r="C779" s="2" t="s">
        <v>181</v>
      </c>
      <c r="D779" s="2" t="s">
        <v>1298</v>
      </c>
      <c r="E779" s="2" t="s">
        <v>38</v>
      </c>
      <c r="F779" s="2" t="s">
        <v>182</v>
      </c>
      <c r="G779" s="2" t="s">
        <v>205</v>
      </c>
      <c r="H779" s="57" t="str">
        <f>Table1[[#This Row],[Tabela]]&amp;Table1[[#This Row],[Campo]]</f>
        <v>modesg_param_sfcs_taxon_europeianome_purpose_esg</v>
      </c>
      <c r="I779" s="2" t="s">
        <v>1931</v>
      </c>
      <c r="J779" s="55">
        <f>VLOOKUP(Table1[[#This Row],[Status]],Auxiliar!$B$16:$C$24,2,0)</f>
        <v>2</v>
      </c>
      <c r="K779" s="2" t="s">
        <v>1263</v>
      </c>
      <c r="L779" s="29" t="s">
        <v>1258</v>
      </c>
      <c r="M779" s="21" t="s">
        <v>1259</v>
      </c>
      <c r="N779" s="48">
        <v>45603</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0.25</v>
      </c>
      <c r="X779" s="2"/>
    </row>
    <row r="780" spans="2:24" ht="17.7" hidden="1" customHeight="1" x14ac:dyDescent="0.25">
      <c r="B780" s="2" t="s">
        <v>26</v>
      </c>
      <c r="C780" s="2" t="s">
        <v>181</v>
      </c>
      <c r="D780" s="2" t="s">
        <v>1298</v>
      </c>
      <c r="E780" s="2" t="s">
        <v>38</v>
      </c>
      <c r="F780" s="2" t="s">
        <v>182</v>
      </c>
      <c r="G780" s="2" t="s">
        <v>205</v>
      </c>
      <c r="H780" s="57" t="str">
        <f>Table1[[#This Row],[Tabela]]&amp;Table1[[#This Row],[Campo]]</f>
        <v>modesg_param_sfcs_taxon_europeianome_purpose_esg</v>
      </c>
      <c r="I780" s="2" t="s">
        <v>1931</v>
      </c>
      <c r="J780" s="55">
        <f>VLOOKUP(Table1[[#This Row],[Status]],Auxiliar!$B$16:$C$24,2,0)</f>
        <v>2</v>
      </c>
      <c r="K780" s="2" t="s">
        <v>1255</v>
      </c>
      <c r="L780" s="29" t="s">
        <v>1258</v>
      </c>
      <c r="M780" s="21" t="s">
        <v>1259</v>
      </c>
      <c r="N780" s="48">
        <v>45603</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0.05</v>
      </c>
      <c r="X780" s="2"/>
    </row>
    <row r="781" spans="2:24" ht="17.7" hidden="1" customHeight="1" x14ac:dyDescent="0.25">
      <c r="B781" s="2" t="s">
        <v>26</v>
      </c>
      <c r="C781" s="2" t="s">
        <v>181</v>
      </c>
      <c r="D781" s="2" t="s">
        <v>1298</v>
      </c>
      <c r="E781" s="2" t="s">
        <v>38</v>
      </c>
      <c r="F781" s="2" t="s">
        <v>182</v>
      </c>
      <c r="G781" s="2" t="s">
        <v>206</v>
      </c>
      <c r="H781" s="57" t="str">
        <f>Table1[[#This Row],[Tabela]]&amp;Table1[[#This Row],[Campo]]</f>
        <v>modesg_param_sfcs_taxon_europeianome_specific_eligible</v>
      </c>
      <c r="I781" s="2" t="s">
        <v>1931</v>
      </c>
      <c r="J781" s="55">
        <f>VLOOKUP(Table1[[#This Row],[Status]],Auxiliar!$B$16:$C$24,2,0)</f>
        <v>2</v>
      </c>
      <c r="K781" s="2" t="s">
        <v>1263</v>
      </c>
      <c r="L781" s="29" t="s">
        <v>1258</v>
      </c>
      <c r="M781" s="21" t="s">
        <v>1259</v>
      </c>
      <c r="N781" s="48">
        <v>45603</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0.25</v>
      </c>
      <c r="X781" s="2"/>
    </row>
    <row r="782" spans="2:24" ht="17.7" hidden="1" customHeight="1" x14ac:dyDescent="0.25">
      <c r="B782" s="2" t="s">
        <v>26</v>
      </c>
      <c r="C782" s="2" t="s">
        <v>181</v>
      </c>
      <c r="D782" s="2" t="s">
        <v>1298</v>
      </c>
      <c r="E782" s="2" t="s">
        <v>38</v>
      </c>
      <c r="F782" s="2" t="s">
        <v>182</v>
      </c>
      <c r="G782" s="2" t="s">
        <v>206</v>
      </c>
      <c r="H782" s="57" t="str">
        <f>Table1[[#This Row],[Tabela]]&amp;Table1[[#This Row],[Campo]]</f>
        <v>modesg_param_sfcs_taxon_europeianome_specific_eligible</v>
      </c>
      <c r="I782" s="2" t="s">
        <v>1931</v>
      </c>
      <c r="J782" s="55">
        <f>VLOOKUP(Table1[[#This Row],[Status]],Auxiliar!$B$16:$C$24,2,0)</f>
        <v>2</v>
      </c>
      <c r="K782" s="2" t="s">
        <v>1255</v>
      </c>
      <c r="L782" s="29" t="s">
        <v>1258</v>
      </c>
      <c r="M782" s="21" t="s">
        <v>1259</v>
      </c>
      <c r="N782" s="48">
        <v>45603</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0.05</v>
      </c>
      <c r="X782" s="2"/>
    </row>
    <row r="783" spans="2:24" ht="17.7" hidden="1" customHeight="1" x14ac:dyDescent="0.25">
      <c r="B783" s="2" t="s">
        <v>26</v>
      </c>
      <c r="C783" s="2" t="s">
        <v>181</v>
      </c>
      <c r="D783" s="2" t="s">
        <v>1298</v>
      </c>
      <c r="E783" s="2" t="s">
        <v>38</v>
      </c>
      <c r="F783" s="2" t="s">
        <v>182</v>
      </c>
      <c r="G783" s="2" t="s">
        <v>207</v>
      </c>
      <c r="H783" s="57" t="str">
        <f>Table1[[#This Row],[Tabela]]&amp;Table1[[#This Row],[Campo]]</f>
        <v>modesg_param_sfcs_taxon_europeianome_specific_sustainable</v>
      </c>
      <c r="I783" s="2" t="s">
        <v>1931</v>
      </c>
      <c r="J783" s="55">
        <f>VLOOKUP(Table1[[#This Row],[Status]],Auxiliar!$B$16:$C$24,2,0)</f>
        <v>2</v>
      </c>
      <c r="K783" s="2" t="s">
        <v>1263</v>
      </c>
      <c r="L783" s="29" t="s">
        <v>1258</v>
      </c>
      <c r="M783" s="21" t="s">
        <v>1259</v>
      </c>
      <c r="N783" s="48">
        <v>45603</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0.25</v>
      </c>
      <c r="X783" s="2"/>
    </row>
    <row r="784" spans="2:24" ht="17.7" hidden="1" customHeight="1" x14ac:dyDescent="0.25">
      <c r="B784" s="2" t="s">
        <v>26</v>
      </c>
      <c r="C784" s="2" t="s">
        <v>181</v>
      </c>
      <c r="D784" s="2" t="s">
        <v>1298</v>
      </c>
      <c r="E784" s="2" t="s">
        <v>38</v>
      </c>
      <c r="F784" s="2" t="s">
        <v>182</v>
      </c>
      <c r="G784" s="2" t="s">
        <v>207</v>
      </c>
      <c r="H784" s="57" t="str">
        <f>Table1[[#This Row],[Tabela]]&amp;Table1[[#This Row],[Campo]]</f>
        <v>modesg_param_sfcs_taxon_europeianome_specific_sustainable</v>
      </c>
      <c r="I784" s="2" t="s">
        <v>1931</v>
      </c>
      <c r="J784" s="55">
        <f>VLOOKUP(Table1[[#This Row],[Status]],Auxiliar!$B$16:$C$24,2,0)</f>
        <v>2</v>
      </c>
      <c r="K784" s="2" t="s">
        <v>1255</v>
      </c>
      <c r="L784" s="29" t="s">
        <v>1258</v>
      </c>
      <c r="M784" s="21" t="s">
        <v>1259</v>
      </c>
      <c r="N784" s="48">
        <v>45603</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0.05</v>
      </c>
      <c r="X784" s="2"/>
    </row>
    <row r="785" spans="2:24" ht="17.7" hidden="1" customHeight="1" x14ac:dyDescent="0.25">
      <c r="B785" s="2" t="s">
        <v>26</v>
      </c>
      <c r="C785" s="2" t="s">
        <v>181</v>
      </c>
      <c r="D785" s="2" t="s">
        <v>1298</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x14ac:dyDescent="0.25">
      <c r="B786" s="2" t="s">
        <v>26</v>
      </c>
      <c r="C786" s="2" t="s">
        <v>181</v>
      </c>
      <c r="D786" s="2" t="s">
        <v>1298</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x14ac:dyDescent="0.25">
      <c r="B787" s="2" t="s">
        <v>26</v>
      </c>
      <c r="C787" s="2" t="s">
        <v>181</v>
      </c>
      <c r="D787" s="2" t="s">
        <v>1298</v>
      </c>
      <c r="E787" s="2" t="s">
        <v>38</v>
      </c>
      <c r="F787" s="2" t="s">
        <v>182</v>
      </c>
      <c r="G787" s="2" t="s">
        <v>209</v>
      </c>
      <c r="H787" s="57" t="str">
        <f>Table1[[#This Row],[Tabela]]&amp;Table1[[#This Row],[Campo]]</f>
        <v>modesg_param_sfcs_taxon_europeiazcliente</v>
      </c>
      <c r="I787" s="2" t="s">
        <v>1931</v>
      </c>
      <c r="J787" s="55">
        <f>VLOOKUP(Table1[[#This Row],[Status]],Auxiliar!$B$16:$C$24,2,0)</f>
        <v>2</v>
      </c>
      <c r="K787" s="2" t="s">
        <v>1263</v>
      </c>
      <c r="L787" s="2" t="s">
        <v>1258</v>
      </c>
      <c r="M787" s="21" t="s">
        <v>1259</v>
      </c>
      <c r="N787" s="48">
        <v>45603</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0.25</v>
      </c>
      <c r="X787" s="2"/>
    </row>
    <row r="788" spans="2:24" ht="17.7" hidden="1" customHeight="1" x14ac:dyDescent="0.25">
      <c r="B788" s="2" t="s">
        <v>26</v>
      </c>
      <c r="C788" s="2" t="s">
        <v>181</v>
      </c>
      <c r="D788" s="2" t="s">
        <v>1298</v>
      </c>
      <c r="E788" s="2" t="s">
        <v>38</v>
      </c>
      <c r="F788" s="2" t="s">
        <v>182</v>
      </c>
      <c r="G788" s="2" t="s">
        <v>209</v>
      </c>
      <c r="H788" s="57" t="str">
        <f>Table1[[#This Row],[Tabela]]&amp;Table1[[#This Row],[Campo]]</f>
        <v>modesg_param_sfcs_taxon_europeiazcliente</v>
      </c>
      <c r="I788" s="2" t="s">
        <v>1931</v>
      </c>
      <c r="J788" s="55">
        <f>VLOOKUP(Table1[[#This Row],[Status]],Auxiliar!$B$16:$C$24,2,0)</f>
        <v>2</v>
      </c>
      <c r="K788" s="2" t="s">
        <v>1255</v>
      </c>
      <c r="L788" s="2" t="s">
        <v>1258</v>
      </c>
      <c r="M788" s="21" t="s">
        <v>1259</v>
      </c>
      <c r="N788" s="48">
        <v>45603</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0.05</v>
      </c>
      <c r="X788" s="2"/>
    </row>
    <row r="789" spans="2:24" ht="17.7" hidden="1" customHeight="1" x14ac:dyDescent="0.25">
      <c r="B789" s="2" t="s">
        <v>26</v>
      </c>
      <c r="C789" s="2" t="s">
        <v>181</v>
      </c>
      <c r="D789" s="2" t="s">
        <v>1298</v>
      </c>
      <c r="E789" s="2" t="s">
        <v>38</v>
      </c>
      <c r="F789" s="2" t="s">
        <v>182</v>
      </c>
      <c r="G789" s="2" t="s">
        <v>210</v>
      </c>
      <c r="H789" s="57" t="str">
        <f>Table1[[#This Row],[Tabela]]&amp;Table1[[#This Row],[Campo]]</f>
        <v>modesg_param_sfcs_taxon_europeiazdeposit</v>
      </c>
      <c r="I789" s="2" t="s">
        <v>1931</v>
      </c>
      <c r="J789" s="55">
        <f>VLOOKUP(Table1[[#This Row],[Status]],Auxiliar!$B$16:$C$24,2,0)</f>
        <v>2</v>
      </c>
      <c r="K789" s="2" t="s">
        <v>1263</v>
      </c>
      <c r="L789" s="2" t="s">
        <v>1258</v>
      </c>
      <c r="M789" s="21" t="s">
        <v>1259</v>
      </c>
      <c r="N789" s="48">
        <v>45603</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0.25</v>
      </c>
      <c r="X789" s="2"/>
    </row>
    <row r="790" spans="2:24" ht="17.7" hidden="1" customHeight="1" x14ac:dyDescent="0.25">
      <c r="B790" s="2" t="s">
        <v>26</v>
      </c>
      <c r="C790" s="2" t="s">
        <v>181</v>
      </c>
      <c r="D790" s="2" t="s">
        <v>1298</v>
      </c>
      <c r="E790" s="2" t="s">
        <v>38</v>
      </c>
      <c r="F790" s="2" t="s">
        <v>182</v>
      </c>
      <c r="G790" s="2" t="s">
        <v>210</v>
      </c>
      <c r="H790" s="57" t="str">
        <f>Table1[[#This Row],[Tabela]]&amp;Table1[[#This Row],[Campo]]</f>
        <v>modesg_param_sfcs_taxon_europeiazdeposit</v>
      </c>
      <c r="I790" s="2" t="s">
        <v>1931</v>
      </c>
      <c r="J790" s="55">
        <f>VLOOKUP(Table1[[#This Row],[Status]],Auxiliar!$B$16:$C$24,2,0)</f>
        <v>2</v>
      </c>
      <c r="K790" s="2" t="s">
        <v>1255</v>
      </c>
      <c r="L790" s="2" t="s">
        <v>1258</v>
      </c>
      <c r="M790" s="21" t="s">
        <v>1259</v>
      </c>
      <c r="N790" s="48">
        <v>45603</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0.05</v>
      </c>
      <c r="X790" s="2"/>
    </row>
    <row r="791" spans="2:24" ht="17.7" hidden="1" customHeight="1" x14ac:dyDescent="0.25">
      <c r="B791" s="2" t="s">
        <v>26</v>
      </c>
      <c r="C791" s="2" t="s">
        <v>181</v>
      </c>
      <c r="D791" s="2" t="s">
        <v>1298</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x14ac:dyDescent="0.25">
      <c r="B792" s="2" t="s">
        <v>26</v>
      </c>
      <c r="C792" s="2" t="s">
        <v>181</v>
      </c>
      <c r="D792" s="2" t="s">
        <v>1298</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x14ac:dyDescent="0.25">
      <c r="B793" s="2" t="s">
        <v>26</v>
      </c>
      <c r="C793" s="2" t="s">
        <v>181</v>
      </c>
      <c r="D793" s="2" t="s">
        <v>1298</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x14ac:dyDescent="0.25">
      <c r="B794" s="2" t="s">
        <v>26</v>
      </c>
      <c r="C794" s="2" t="s">
        <v>181</v>
      </c>
      <c r="D794" s="2" t="s">
        <v>1298</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x14ac:dyDescent="0.25">
      <c r="B795" s="13" t="s">
        <v>26</v>
      </c>
      <c r="C795" s="13" t="s">
        <v>181</v>
      </c>
      <c r="D795" s="13" t="s">
        <v>1305</v>
      </c>
      <c r="E795" s="2" t="s">
        <v>38</v>
      </c>
      <c r="F795" s="13" t="s">
        <v>213</v>
      </c>
      <c r="G795" s="13" t="s">
        <v>38</v>
      </c>
      <c r="H795" s="58" t="str">
        <f>Table1[[#This Row],[Tabela]]&amp;Table1[[#This Row],[Campo]]</f>
        <v>modesg_inp_emss_vclsn.a.</v>
      </c>
      <c r="I795" s="2" t="s">
        <v>614</v>
      </c>
      <c r="J795" s="46">
        <f>VLOOKUP(Table1[[#This Row],[Status]],Auxiliar!$B$16:$C$24,2,0)</f>
        <v>1</v>
      </c>
      <c r="K795" s="21" t="s">
        <v>1249</v>
      </c>
      <c r="L795" s="21" t="s">
        <v>1258</v>
      </c>
      <c r="M795" s="21" t="s">
        <v>1259</v>
      </c>
      <c r="N795" s="48">
        <v>45546</v>
      </c>
      <c r="O795" s="21">
        <f>INDEX(Auxiliar!$D$5:$F$13,MATCH(Table1[[#This Row],[Tipologia_Testes]],Auxiliar!$B$5:$B$13,0),MATCH(Table1[[#This Row],[Complexidade]],Auxiliar!$D$4:$F$4,0))</f>
        <v>8</v>
      </c>
      <c r="P795" s="2" t="s">
        <v>1306</v>
      </c>
      <c r="Q795" s="2"/>
      <c r="R795" s="152">
        <v>45261</v>
      </c>
      <c r="S795" s="152"/>
      <c r="T795" s="152"/>
      <c r="U795" s="152">
        <v>45603</v>
      </c>
      <c r="V795" s="152">
        <v>45534</v>
      </c>
      <c r="W795" s="2">
        <f>VLOOKUP(Table1[[#This Row],[Status]],Auxiliar!$B$16:$D$24,3,0)*Table1[[#This Row],[Estimação (horas)]]</f>
        <v>8</v>
      </c>
      <c r="X795" s="2"/>
    </row>
    <row r="796" spans="2:24" ht="17.7" hidden="1" customHeight="1" x14ac:dyDescent="0.25">
      <c r="B796" s="13" t="s">
        <v>26</v>
      </c>
      <c r="C796" s="13" t="s">
        <v>181</v>
      </c>
      <c r="D796" s="13" t="s">
        <v>1305</v>
      </c>
      <c r="E796" s="2" t="s">
        <v>38</v>
      </c>
      <c r="F796" s="13" t="s">
        <v>213</v>
      </c>
      <c r="G796" s="13" t="s">
        <v>38</v>
      </c>
      <c r="H796" s="58" t="str">
        <f>Table1[[#This Row],[Tabela]]&amp;Table1[[#This Row],[Campo]]</f>
        <v>modesg_inp_emss_vclsn.a.</v>
      </c>
      <c r="I796" s="2" t="s">
        <v>614</v>
      </c>
      <c r="J796" s="46">
        <f>VLOOKUP(Table1[[#This Row],[Status]],Auxiliar!$B$16:$C$24,2,0)</f>
        <v>1</v>
      </c>
      <c r="K796" s="21" t="s">
        <v>1299</v>
      </c>
      <c r="L796" s="21" t="s">
        <v>1258</v>
      </c>
      <c r="M796" s="21" t="s">
        <v>1259</v>
      </c>
      <c r="N796" s="48">
        <v>45546</v>
      </c>
      <c r="O796" s="21">
        <f>INDEX(Auxiliar!$D$5:$F$13,MATCH(Table1[[#This Row],[Tipologia_Testes]],Auxiliar!$B$5:$B$13,0),MATCH(Table1[[#This Row],[Complexidade]],Auxiliar!$D$4:$F$4,0))</f>
        <v>0.5</v>
      </c>
      <c r="P796" s="2" t="s">
        <v>1307</v>
      </c>
      <c r="Q796" s="2" t="s">
        <v>1308</v>
      </c>
      <c r="R796" s="152">
        <v>45261</v>
      </c>
      <c r="S796" s="152"/>
      <c r="T796" s="152">
        <v>45471</v>
      </c>
      <c r="U796" s="152">
        <v>45603</v>
      </c>
      <c r="V796" s="152">
        <v>45534</v>
      </c>
      <c r="W796" s="2">
        <f>VLOOKUP(Table1[[#This Row],[Status]],Auxiliar!$B$16:$D$24,3,0)*Table1[[#This Row],[Estimação (horas)]]</f>
        <v>0.5</v>
      </c>
      <c r="X796" s="2"/>
    </row>
    <row r="797" spans="2:24" ht="17.7" hidden="1" customHeight="1" x14ac:dyDescent="0.25">
      <c r="B797" s="13" t="s">
        <v>26</v>
      </c>
      <c r="C797" s="13" t="s">
        <v>181</v>
      </c>
      <c r="D797" s="13" t="s">
        <v>1305</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x14ac:dyDescent="0.25">
      <c r="B798" s="13" t="s">
        <v>26</v>
      </c>
      <c r="C798" s="13" t="s">
        <v>181</v>
      </c>
      <c r="D798" s="13" t="s">
        <v>1305</v>
      </c>
      <c r="E798" s="2" t="s">
        <v>38</v>
      </c>
      <c r="F798" s="13" t="s">
        <v>214</v>
      </c>
      <c r="G798" s="13" t="s">
        <v>38</v>
      </c>
      <c r="H798" s="58" t="str">
        <f>Table1[[#This Row],[Tabela]]&amp;Table1[[#This Row],[Campo]]</f>
        <v>modesg_inp_km_medios_emss_vclsn.a.</v>
      </c>
      <c r="I798" s="2" t="s">
        <v>614</v>
      </c>
      <c r="J798" s="46">
        <f>VLOOKUP(Table1[[#This Row],[Status]],Auxiliar!$B$16:$C$24,2,0)</f>
        <v>1</v>
      </c>
      <c r="K798" s="21" t="s">
        <v>1299</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x14ac:dyDescent="0.25">
      <c r="B799" s="13" t="s">
        <v>26</v>
      </c>
      <c r="C799" s="13" t="s">
        <v>181</v>
      </c>
      <c r="D799" s="13" t="s">
        <v>1309</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1310</v>
      </c>
      <c r="Q799" s="2"/>
      <c r="R799" s="152">
        <v>45261</v>
      </c>
      <c r="S799" s="152"/>
      <c r="T799" s="152"/>
      <c r="U799" s="152">
        <v>45603</v>
      </c>
      <c r="V799" s="152"/>
      <c r="W799" s="2">
        <f>VLOOKUP(Table1[[#This Row],[Status]],Auxiliar!$B$16:$D$24,3,0)*Table1[[#This Row],[Estimação (horas)]]</f>
        <v>8</v>
      </c>
      <c r="X799" s="2"/>
    </row>
    <row r="800" spans="2:24" ht="17.7" hidden="1" customHeight="1" x14ac:dyDescent="0.25">
      <c r="B800" s="13" t="s">
        <v>26</v>
      </c>
      <c r="C800" s="13" t="s">
        <v>181</v>
      </c>
      <c r="D800" s="13" t="s">
        <v>1309</v>
      </c>
      <c r="E800" s="2" t="s">
        <v>38</v>
      </c>
      <c r="F800" s="13" t="s">
        <v>215</v>
      </c>
      <c r="G800" s="13" t="s">
        <v>38</v>
      </c>
      <c r="H800" s="58" t="str">
        <f>Table1[[#This Row],[Tabela]]&amp;Table1[[#This Row],[Campo]]</f>
        <v>modesg_inp_empr_excl_parisn.a.</v>
      </c>
      <c r="I800" s="2" t="s">
        <v>614</v>
      </c>
      <c r="J800" s="46">
        <f>VLOOKUP(Table1[[#This Row],[Status]],Auxiliar!$B$16:$C$24,2,0)</f>
        <v>1</v>
      </c>
      <c r="K800" s="21" t="s">
        <v>1299</v>
      </c>
      <c r="L800" s="22"/>
      <c r="M800" s="21" t="s">
        <v>1259</v>
      </c>
      <c r="N800" s="48">
        <v>45491</v>
      </c>
      <c r="O800" s="21">
        <f>INDEX(Auxiliar!$D$5:$F$13,MATCH(Table1[[#This Row],[Tipologia_Testes]],Auxiliar!$B$5:$B$13,0),MATCH(Table1[[#This Row],[Complexidade]],Auxiliar!$D$4:$F$4,0))</f>
        <v>0.5</v>
      </c>
      <c r="P800" s="2" t="s">
        <v>1311</v>
      </c>
      <c r="Q800" s="2"/>
      <c r="R800" s="152">
        <v>45261</v>
      </c>
      <c r="S800" s="152"/>
      <c r="T800" s="152"/>
      <c r="U800" s="152">
        <v>45603</v>
      </c>
      <c r="V800" s="152"/>
      <c r="W800" s="2">
        <f>VLOOKUP(Table1[[#This Row],[Status]],Auxiliar!$B$16:$D$24,3,0)*Table1[[#This Row],[Estimação (horas)]]</f>
        <v>0.5</v>
      </c>
      <c r="X800" s="2"/>
    </row>
    <row r="801" spans="2:24" ht="17.7" hidden="1" customHeight="1" x14ac:dyDescent="0.25">
      <c r="B801" s="13" t="s">
        <v>26</v>
      </c>
      <c r="C801" s="13" t="s">
        <v>181</v>
      </c>
      <c r="D801" s="13" t="s">
        <v>1312</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x14ac:dyDescent="0.25">
      <c r="B802" s="13" t="s">
        <v>26</v>
      </c>
      <c r="C802" s="13" t="s">
        <v>181</v>
      </c>
      <c r="D802" s="13" t="s">
        <v>1312</v>
      </c>
      <c r="E802" s="2" t="s">
        <v>38</v>
      </c>
      <c r="F802" s="13" t="s">
        <v>216</v>
      </c>
      <c r="G802" s="13" t="s">
        <v>38</v>
      </c>
      <c r="H802" s="58" t="str">
        <f>Table1[[#This Row],[Tabela]]&amp;Table1[[#This Row],[Campo]]</f>
        <v>modesg_inp_nfrd_alinhamento_taxn.a.</v>
      </c>
      <c r="I802" s="2" t="s">
        <v>614</v>
      </c>
      <c r="J802" s="46">
        <f>VLOOKUP(Table1[[#This Row],[Status]],Auxiliar!$B$16:$C$24,2,0)</f>
        <v>1</v>
      </c>
      <c r="K802" s="21" t="s">
        <v>1299</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x14ac:dyDescent="0.25">
      <c r="B803" s="13" t="s">
        <v>26</v>
      </c>
      <c r="C803" s="13" t="s">
        <v>181</v>
      </c>
      <c r="D803" s="13" t="s">
        <v>1313</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x14ac:dyDescent="0.25">
      <c r="B804" s="13" t="s">
        <v>26</v>
      </c>
      <c r="C804" s="13" t="s">
        <v>181</v>
      </c>
      <c r="D804" s="13" t="s">
        <v>1313</v>
      </c>
      <c r="E804" s="2" t="s">
        <v>38</v>
      </c>
      <c r="F804" s="13" t="s">
        <v>217</v>
      </c>
      <c r="G804" s="13" t="s">
        <v>38</v>
      </c>
      <c r="H804" s="58" t="str">
        <f>Table1[[#This Row],[Tabela]]&amp;Table1[[#This Row],[Campo]]</f>
        <v>modesg_inp_risco_fisicon.a.</v>
      </c>
      <c r="I804" s="2" t="s">
        <v>614</v>
      </c>
      <c r="J804" s="46">
        <f>VLOOKUP(Table1[[#This Row],[Status]],Auxiliar!$B$16:$C$24,2,0)</f>
        <v>1</v>
      </c>
      <c r="K804" s="21" t="s">
        <v>1299</v>
      </c>
      <c r="L804" s="21" t="s">
        <v>1250</v>
      </c>
      <c r="M804" s="21" t="s">
        <v>1259</v>
      </c>
      <c r="N804" s="48">
        <v>45485</v>
      </c>
      <c r="O804" s="21">
        <f>INDEX(Auxiliar!$D$5:$F$13,MATCH(Table1[[#This Row],[Tipologia_Testes]],Auxiliar!$B$5:$B$13,0),MATCH(Table1[[#This Row],[Complexidade]],Auxiliar!$D$4:$F$4,0))</f>
        <v>0.5</v>
      </c>
      <c r="P804" s="2" t="s">
        <v>1311</v>
      </c>
      <c r="Q804" s="2"/>
      <c r="R804" s="152">
        <v>45261</v>
      </c>
      <c r="S804" s="152"/>
      <c r="T804" s="152"/>
      <c r="U804" s="152">
        <v>45603</v>
      </c>
      <c r="V804" s="152"/>
      <c r="W804" s="2">
        <f>VLOOKUP(Table1[[#This Row],[Status]],Auxiliar!$B$16:$D$24,3,0)*Table1[[#This Row],[Estimação (horas)]]</f>
        <v>0.5</v>
      </c>
      <c r="X804" s="2"/>
    </row>
    <row r="805" spans="2:24" ht="17.7" hidden="1" customHeight="1" x14ac:dyDescent="0.25">
      <c r="B805" s="13" t="s">
        <v>26</v>
      </c>
      <c r="C805" s="13" t="s">
        <v>181</v>
      </c>
      <c r="D805" s="13" t="s">
        <v>1305</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1308</v>
      </c>
      <c r="R805" s="152">
        <v>45261</v>
      </c>
      <c r="S805" s="152"/>
      <c r="T805" s="152"/>
      <c r="U805" s="152">
        <v>45603</v>
      </c>
      <c r="V805" s="152"/>
      <c r="W805" s="2">
        <f>VLOOKUP(Table1[[#This Row],[Status]],Auxiliar!$B$16:$D$24,3,0)*Table1[[#This Row],[Estimação (horas)]]</f>
        <v>8</v>
      </c>
      <c r="X805" s="2"/>
    </row>
    <row r="806" spans="2:24" ht="17.7" hidden="1" customHeight="1" x14ac:dyDescent="0.25">
      <c r="B806" s="13" t="s">
        <v>26</v>
      </c>
      <c r="C806" s="13" t="s">
        <v>181</v>
      </c>
      <c r="D806" s="13" t="s">
        <v>1305</v>
      </c>
      <c r="E806" s="2" t="s">
        <v>38</v>
      </c>
      <c r="F806" s="13" t="s">
        <v>218</v>
      </c>
      <c r="G806" s="13" t="s">
        <v>38</v>
      </c>
      <c r="H806" s="58" t="str">
        <f>Table1[[#This Row],[Tabela]]&amp;Table1[[#This Row],[Campo]]</f>
        <v>modesg_inp_emss_scibn.a.</v>
      </c>
      <c r="I806" s="2" t="s">
        <v>614</v>
      </c>
      <c r="J806" s="46">
        <f>VLOOKUP(Table1[[#This Row],[Status]],Auxiliar!$B$16:$C$24,2,0)</f>
        <v>1</v>
      </c>
      <c r="K806" s="21" t="s">
        <v>1299</v>
      </c>
      <c r="L806" s="21" t="s">
        <v>1250</v>
      </c>
      <c r="M806" s="21" t="s">
        <v>1259</v>
      </c>
      <c r="N806" s="48">
        <v>45490</v>
      </c>
      <c r="O806" s="21">
        <f>INDEX(Auxiliar!$D$5:$F$13,MATCH(Table1[[#This Row],[Tipologia_Testes]],Auxiliar!$B$5:$B$13,0),MATCH(Table1[[#This Row],[Complexidade]],Auxiliar!$D$4:$F$4,0))</f>
        <v>0.5</v>
      </c>
      <c r="P806" s="2"/>
      <c r="Q806" s="2" t="s">
        <v>1308</v>
      </c>
      <c r="R806" s="152">
        <v>45261</v>
      </c>
      <c r="S806" s="152"/>
      <c r="T806" s="152"/>
      <c r="U806" s="152">
        <v>45603</v>
      </c>
      <c r="V806" s="152"/>
      <c r="W806" s="2">
        <f>VLOOKUP(Table1[[#This Row],[Status]],Auxiliar!$B$16:$D$24,3,0)*Table1[[#This Row],[Estimação (horas)]]</f>
        <v>0.5</v>
      </c>
      <c r="X806" s="2"/>
    </row>
    <row r="807" spans="2:24" ht="17.7" hidden="1" customHeight="1" x14ac:dyDescent="0.25">
      <c r="B807" s="13" t="s">
        <v>26</v>
      </c>
      <c r="C807" s="13" t="s">
        <v>181</v>
      </c>
      <c r="D807" s="13" t="s">
        <v>1305</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x14ac:dyDescent="0.25">
      <c r="B808" s="13" t="s">
        <v>26</v>
      </c>
      <c r="C808" s="13" t="s">
        <v>181</v>
      </c>
      <c r="D808" s="13" t="s">
        <v>1305</v>
      </c>
      <c r="E808" s="2" t="s">
        <v>38</v>
      </c>
      <c r="F808" s="13" t="s">
        <v>219</v>
      </c>
      <c r="G808" s="13" t="s">
        <v>38</v>
      </c>
      <c r="H808" s="58" t="str">
        <f>Table1[[#This Row],[Tabela]]&amp;Table1[[#This Row],[Campo]]</f>
        <v>modesg_inp_emss_nacen.a.</v>
      </c>
      <c r="I808" s="2" t="s">
        <v>614</v>
      </c>
      <c r="J808" s="46">
        <f>VLOOKUP(Table1[[#This Row],[Status]],Auxiliar!$B$16:$C$24,2,0)</f>
        <v>1</v>
      </c>
      <c r="K808" s="21" t="s">
        <v>1299</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x14ac:dyDescent="0.25">
      <c r="B809" s="13" t="s">
        <v>26</v>
      </c>
      <c r="C809" s="13" t="s">
        <v>181</v>
      </c>
      <c r="D809" s="13" t="s">
        <v>1305</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x14ac:dyDescent="0.25">
      <c r="B810" s="13" t="s">
        <v>26</v>
      </c>
      <c r="C810" s="13" t="s">
        <v>181</v>
      </c>
      <c r="D810" s="13" t="s">
        <v>1305</v>
      </c>
      <c r="E810" s="2" t="s">
        <v>38</v>
      </c>
      <c r="F810" s="13" t="s">
        <v>220</v>
      </c>
      <c r="G810" s="13" t="s">
        <v>38</v>
      </c>
      <c r="H810" s="58" t="str">
        <f>Table1[[#This Row],[Tabela]]&amp;Table1[[#This Row],[Campo]]</f>
        <v>modesg_inp_emss_bens_imoveisn.a.</v>
      </c>
      <c r="I810" s="2" t="s">
        <v>614</v>
      </c>
      <c r="J810" s="46">
        <f>VLOOKUP(Table1[[#This Row],[Status]],Auxiliar!$B$16:$C$24,2,0)</f>
        <v>1</v>
      </c>
      <c r="K810" s="21" t="s">
        <v>1299</v>
      </c>
      <c r="L810" s="21" t="s">
        <v>1250</v>
      </c>
      <c r="M810" s="21" t="s">
        <v>1259</v>
      </c>
      <c r="N810" s="48">
        <v>45546</v>
      </c>
      <c r="O810" s="21">
        <f>INDEX(Auxiliar!$D$5:$F$13,MATCH(Table1[[#This Row],[Tipologia_Testes]],Auxiliar!$B$5:$B$13,0),MATCH(Table1[[#This Row],[Complexidade]],Auxiliar!$D$4:$F$4,0))</f>
        <v>0.5</v>
      </c>
      <c r="P810" s="2" t="s">
        <v>1314</v>
      </c>
      <c r="Q810" s="2"/>
      <c r="R810" s="152">
        <v>45261</v>
      </c>
      <c r="S810" s="152"/>
      <c r="T810" s="152"/>
      <c r="U810" s="152">
        <v>45603</v>
      </c>
      <c r="V810" s="152">
        <v>45534</v>
      </c>
      <c r="W810" s="2">
        <f>VLOOKUP(Table1[[#This Row],[Status]],Auxiliar!$B$16:$D$24,3,0)*Table1[[#This Row],[Estimação (horas)]]</f>
        <v>0.5</v>
      </c>
      <c r="X810" s="2"/>
    </row>
    <row r="811" spans="2:24" ht="17.7" hidden="1" customHeight="1" x14ac:dyDescent="0.25">
      <c r="B811" s="13" t="s">
        <v>26</v>
      </c>
      <c r="C811" s="13" t="s">
        <v>181</v>
      </c>
      <c r="D811" s="13" t="s">
        <v>1305</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1315</v>
      </c>
      <c r="Q811" s="2"/>
      <c r="R811" s="152">
        <v>45261</v>
      </c>
      <c r="S811" s="152"/>
      <c r="T811" s="152"/>
      <c r="U811" s="152">
        <v>45603</v>
      </c>
      <c r="V811" s="152">
        <v>45534</v>
      </c>
      <c r="W811" s="2">
        <f>VLOOKUP(Table1[[#This Row],[Status]],Auxiliar!$B$16:$D$24,3,0)*Table1[[#This Row],[Estimação (horas)]]</f>
        <v>0.5</v>
      </c>
      <c r="X811" s="2"/>
    </row>
    <row r="812" spans="2:24" ht="17.7" hidden="1" customHeight="1" x14ac:dyDescent="0.25">
      <c r="B812" s="13" t="s">
        <v>26</v>
      </c>
      <c r="C812" s="13" t="s">
        <v>181</v>
      </c>
      <c r="D812" s="13" t="s">
        <v>1305</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1316</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x14ac:dyDescent="0.25">
      <c r="B813" s="13" t="s">
        <v>26</v>
      </c>
      <c r="C813" s="13" t="s">
        <v>181</v>
      </c>
      <c r="D813" s="13" t="s">
        <v>1305</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1317</v>
      </c>
      <c r="Q813" s="2"/>
      <c r="R813" s="152">
        <v>45261</v>
      </c>
      <c r="S813" s="152"/>
      <c r="T813" s="152"/>
      <c r="U813" s="152">
        <v>45603</v>
      </c>
      <c r="V813" s="152">
        <v>45534</v>
      </c>
      <c r="W813" s="2">
        <f>VLOOKUP(Table1[[#This Row],[Status]],Auxiliar!$B$16:$D$24,3,0)*Table1[[#This Row],[Estimação (horas)]]</f>
        <v>0.5</v>
      </c>
      <c r="X813" s="2"/>
    </row>
    <row r="814" spans="2:24" ht="17.7" hidden="1" customHeight="1" x14ac:dyDescent="0.25">
      <c r="B814" s="13" t="s">
        <v>26</v>
      </c>
      <c r="C814" s="13" t="s">
        <v>181</v>
      </c>
      <c r="D814" s="13" t="s">
        <v>1305</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1316</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x14ac:dyDescent="0.25">
      <c r="B815" s="13" t="s">
        <v>26</v>
      </c>
      <c r="C815" s="13" t="s">
        <v>181</v>
      </c>
      <c r="D815" s="13" t="s">
        <v>1305</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1317</v>
      </c>
      <c r="Q815" s="2"/>
      <c r="R815" s="152">
        <v>45261</v>
      </c>
      <c r="S815" s="152"/>
      <c r="T815" s="152"/>
      <c r="U815" s="152">
        <v>45603</v>
      </c>
      <c r="V815" s="152">
        <v>45534</v>
      </c>
      <c r="W815" s="2">
        <f>VLOOKUP(Table1[[#This Row],[Status]],Auxiliar!$B$16:$D$24,3,0)*Table1[[#This Row],[Estimação (horas)]]</f>
        <v>0.5</v>
      </c>
      <c r="X815" s="2"/>
    </row>
    <row r="816" spans="2:24" ht="17.7" hidden="1" customHeight="1" x14ac:dyDescent="0.25">
      <c r="B816" s="13" t="s">
        <v>26</v>
      </c>
      <c r="C816" s="13" t="s">
        <v>181</v>
      </c>
      <c r="D816" s="13" t="s">
        <v>1305</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1315</v>
      </c>
      <c r="Q816" s="2"/>
      <c r="R816" s="152">
        <v>45261</v>
      </c>
      <c r="S816" s="152"/>
      <c r="T816" s="152"/>
      <c r="U816" s="152">
        <v>45603</v>
      </c>
      <c r="V816" s="152">
        <v>45534</v>
      </c>
      <c r="W816" s="2">
        <f>VLOOKUP(Table1[[#This Row],[Status]],Auxiliar!$B$16:$D$24,3,0)*Table1[[#This Row],[Estimação (horas)]]</f>
        <v>0.5</v>
      </c>
      <c r="X816" s="2"/>
    </row>
    <row r="817" spans="2:24" ht="17.7" hidden="1" customHeight="1" x14ac:dyDescent="0.25">
      <c r="B817" s="13" t="s">
        <v>26</v>
      </c>
      <c r="C817" s="13" t="s">
        <v>181</v>
      </c>
      <c r="D817" s="13" t="s">
        <v>1305</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1316</v>
      </c>
      <c r="Q817" s="2"/>
      <c r="R817" s="152">
        <v>45261</v>
      </c>
      <c r="S817" s="152"/>
      <c r="T817" s="152"/>
      <c r="U817" s="152">
        <v>45603</v>
      </c>
      <c r="V817" s="152">
        <v>45534</v>
      </c>
      <c r="W817" s="2">
        <f>VLOOKUP(Table1[[#This Row],[Status]],Auxiliar!$B$16:$D$24,3,0)*Table1[[#This Row],[Estimação (horas)]]</f>
        <v>0.1</v>
      </c>
      <c r="X817" s="2"/>
    </row>
    <row r="818" spans="2:24" ht="17.7" hidden="1" customHeight="1" x14ac:dyDescent="0.25">
      <c r="B818" s="13" t="s">
        <v>26</v>
      </c>
      <c r="C818" s="13" t="s">
        <v>181</v>
      </c>
      <c r="D818" s="13" t="s">
        <v>1305</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1315</v>
      </c>
      <c r="Q818" s="2"/>
      <c r="R818" s="152">
        <v>45261</v>
      </c>
      <c r="S818" s="152"/>
      <c r="T818" s="152"/>
      <c r="U818" s="152">
        <v>45603</v>
      </c>
      <c r="V818" s="152">
        <v>45534</v>
      </c>
      <c r="W818" s="2">
        <f>VLOOKUP(Table1[[#This Row],[Status]],Auxiliar!$B$16:$D$24,3,0)*Table1[[#This Row],[Estimação (horas)]]</f>
        <v>0.5</v>
      </c>
      <c r="X818" s="2"/>
    </row>
    <row r="819" spans="2:24" ht="17.7" hidden="1" customHeight="1" x14ac:dyDescent="0.25">
      <c r="B819" s="13" t="s">
        <v>26</v>
      </c>
      <c r="C819" s="13" t="s">
        <v>181</v>
      </c>
      <c r="D819" s="13" t="s">
        <v>1305</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1316</v>
      </c>
      <c r="Q819" s="2"/>
      <c r="R819" s="152">
        <v>45261</v>
      </c>
      <c r="S819" s="152"/>
      <c r="T819" s="152"/>
      <c r="U819" s="152">
        <v>45603</v>
      </c>
      <c r="V819" s="152">
        <v>45534</v>
      </c>
      <c r="W819" s="2">
        <f>VLOOKUP(Table1[[#This Row],[Status]],Auxiliar!$B$16:$D$24,3,0)*Table1[[#This Row],[Estimação (horas)]]</f>
        <v>0.1</v>
      </c>
      <c r="X819" s="2"/>
    </row>
    <row r="820" spans="2:24" ht="17.7" hidden="1" customHeight="1" x14ac:dyDescent="0.25">
      <c r="B820" s="13" t="s">
        <v>26</v>
      </c>
      <c r="C820" s="13" t="s">
        <v>181</v>
      </c>
      <c r="D820" s="13" t="s">
        <v>1305</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1315</v>
      </c>
      <c r="Q820" s="2"/>
      <c r="R820" s="152">
        <v>45261</v>
      </c>
      <c r="S820" s="152"/>
      <c r="T820" s="152"/>
      <c r="U820" s="152">
        <v>45603</v>
      </c>
      <c r="V820" s="152">
        <v>45534</v>
      </c>
      <c r="W820" s="2">
        <f>VLOOKUP(Table1[[#This Row],[Status]],Auxiliar!$B$16:$D$24,3,0)*Table1[[#This Row],[Estimação (horas)]]</f>
        <v>0.5</v>
      </c>
      <c r="X820" s="2"/>
    </row>
    <row r="821" spans="2:24" ht="17.7" hidden="1" customHeight="1" x14ac:dyDescent="0.25">
      <c r="B821" s="13" t="s">
        <v>26</v>
      </c>
      <c r="C821" s="13" t="s">
        <v>181</v>
      </c>
      <c r="D821" s="13" t="s">
        <v>1305</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1316</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x14ac:dyDescent="0.25">
      <c r="B822" s="13" t="s">
        <v>26</v>
      </c>
      <c r="C822" s="13" t="s">
        <v>181</v>
      </c>
      <c r="D822" s="13" t="s">
        <v>1305</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1317</v>
      </c>
      <c r="Q822" s="2"/>
      <c r="R822" s="152">
        <v>45261</v>
      </c>
      <c r="S822" s="152"/>
      <c r="T822" s="152"/>
      <c r="U822" s="152">
        <v>45603</v>
      </c>
      <c r="V822" s="152">
        <v>45534</v>
      </c>
      <c r="W822" s="2">
        <f>VLOOKUP(Table1[[#This Row],[Status]],Auxiliar!$B$16:$D$24,3,0)*Table1[[#This Row],[Estimação (horas)]]</f>
        <v>0.5</v>
      </c>
      <c r="X822" s="2"/>
    </row>
    <row r="823" spans="2:24" ht="17.7" hidden="1" customHeight="1" x14ac:dyDescent="0.25">
      <c r="B823" s="13" t="s">
        <v>26</v>
      </c>
      <c r="C823" s="13" t="s">
        <v>181</v>
      </c>
      <c r="D823" s="13" t="s">
        <v>1305</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1316</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x14ac:dyDescent="0.25">
      <c r="B824" s="13" t="s">
        <v>26</v>
      </c>
      <c r="C824" s="13" t="s">
        <v>181</v>
      </c>
      <c r="D824" s="13" t="s">
        <v>1305</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1317</v>
      </c>
      <c r="Q824" s="2"/>
      <c r="R824" s="152">
        <v>45261</v>
      </c>
      <c r="S824" s="152"/>
      <c r="T824" s="152"/>
      <c r="U824" s="152">
        <v>45603</v>
      </c>
      <c r="V824" s="152">
        <v>45534</v>
      </c>
      <c r="W824" s="2">
        <f>VLOOKUP(Table1[[#This Row],[Status]],Auxiliar!$B$16:$D$24,3,0)*Table1[[#This Row],[Estimação (horas)]]</f>
        <v>0.5</v>
      </c>
      <c r="X824" s="2"/>
    </row>
    <row r="825" spans="2:24" ht="17.7" hidden="1" customHeight="1" x14ac:dyDescent="0.25">
      <c r="B825" s="13" t="s">
        <v>26</v>
      </c>
      <c r="C825" s="13" t="s">
        <v>181</v>
      </c>
      <c r="D825" s="13" t="s">
        <v>1305</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1316</v>
      </c>
      <c r="Q825" s="2"/>
      <c r="R825" s="152">
        <v>45261</v>
      </c>
      <c r="S825" s="152"/>
      <c r="T825" s="152"/>
      <c r="U825" s="152">
        <v>45603</v>
      </c>
      <c r="V825" s="152">
        <v>45534</v>
      </c>
      <c r="W825" s="2">
        <f>VLOOKUP(Table1[[#This Row],[Status]],Auxiliar!$B$16:$D$24,3,0)*Table1[[#This Row],[Estimação (horas)]]</f>
        <v>0.1</v>
      </c>
      <c r="X825" s="2"/>
    </row>
    <row r="826" spans="2:24" ht="17.7" hidden="1" customHeight="1" x14ac:dyDescent="0.25">
      <c r="B826" s="13" t="s">
        <v>26</v>
      </c>
      <c r="C826" s="13" t="s">
        <v>181</v>
      </c>
      <c r="D826" s="13" t="s">
        <v>1305</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1315</v>
      </c>
      <c r="Q826" s="2"/>
      <c r="R826" s="152">
        <v>45261</v>
      </c>
      <c r="S826" s="152"/>
      <c r="T826" s="152"/>
      <c r="U826" s="152">
        <v>45603</v>
      </c>
      <c r="V826" s="152">
        <v>45534</v>
      </c>
      <c r="W826" s="2">
        <f>VLOOKUP(Table1[[#This Row],[Status]],Auxiliar!$B$16:$D$24,3,0)*Table1[[#This Row],[Estimação (horas)]]</f>
        <v>0.5</v>
      </c>
      <c r="X826" s="2"/>
    </row>
    <row r="827" spans="2:24" ht="17.7" hidden="1" customHeight="1" x14ac:dyDescent="0.25">
      <c r="B827" s="13" t="s">
        <v>26</v>
      </c>
      <c r="C827" s="13" t="s">
        <v>181</v>
      </c>
      <c r="D827" s="13" t="s">
        <v>1305</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1316</v>
      </c>
      <c r="Q827" s="2"/>
      <c r="R827" s="152">
        <v>45261</v>
      </c>
      <c r="S827" s="152"/>
      <c r="T827" s="152"/>
      <c r="U827" s="152">
        <v>45603</v>
      </c>
      <c r="V827" s="152">
        <v>45534</v>
      </c>
      <c r="W827" s="2">
        <f>VLOOKUP(Table1[[#This Row],[Status]],Auxiliar!$B$16:$D$24,3,0)*Table1[[#This Row],[Estimação (horas)]]</f>
        <v>0.1</v>
      </c>
      <c r="X827" s="2"/>
    </row>
    <row r="828" spans="2:24" ht="17.7" hidden="1" customHeight="1" x14ac:dyDescent="0.25">
      <c r="B828" s="13" t="s">
        <v>26</v>
      </c>
      <c r="C828" s="13" t="s">
        <v>181</v>
      </c>
      <c r="D828" s="13" t="s">
        <v>1305</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1315</v>
      </c>
      <c r="Q828" s="2"/>
      <c r="R828" s="152">
        <v>45261</v>
      </c>
      <c r="S828" s="152"/>
      <c r="T828" s="152"/>
      <c r="U828" s="152">
        <v>45603</v>
      </c>
      <c r="V828" s="152">
        <v>45534</v>
      </c>
      <c r="W828" s="2">
        <f>VLOOKUP(Table1[[#This Row],[Status]],Auxiliar!$B$16:$D$24,3,0)*Table1[[#This Row],[Estimação (horas)]]</f>
        <v>0.5</v>
      </c>
      <c r="X828" s="2"/>
    </row>
    <row r="829" spans="2:24" ht="17.7" hidden="1" customHeight="1" x14ac:dyDescent="0.25">
      <c r="B829" s="13" t="s">
        <v>26</v>
      </c>
      <c r="C829" s="13" t="s">
        <v>181</v>
      </c>
      <c r="D829" s="13" t="s">
        <v>1305</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1316</v>
      </c>
      <c r="Q829" s="2"/>
      <c r="R829" s="152">
        <v>45261</v>
      </c>
      <c r="S829" s="152"/>
      <c r="T829" s="152"/>
      <c r="U829" s="152">
        <v>45603</v>
      </c>
      <c r="V829" s="152">
        <v>45534</v>
      </c>
      <c r="W829" s="2">
        <f>VLOOKUP(Table1[[#This Row],[Status]],Auxiliar!$B$16:$D$24,3,0)*Table1[[#This Row],[Estimação (horas)]]</f>
        <v>0.1</v>
      </c>
      <c r="X829" s="2"/>
    </row>
    <row r="830" spans="2:24" ht="17.7" hidden="1" customHeight="1" x14ac:dyDescent="0.25">
      <c r="B830" s="13" t="s">
        <v>26</v>
      </c>
      <c r="C830" s="13" t="s">
        <v>181</v>
      </c>
      <c r="D830" s="13" t="s">
        <v>1305</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1315</v>
      </c>
      <c r="Q830" s="2"/>
      <c r="R830" s="152">
        <v>45261</v>
      </c>
      <c r="S830" s="152"/>
      <c r="T830" s="152"/>
      <c r="U830" s="152">
        <v>45603</v>
      </c>
      <c r="V830" s="152">
        <v>45534</v>
      </c>
      <c r="W830" s="2">
        <f>VLOOKUP(Table1[[#This Row],[Status]],Auxiliar!$B$16:$D$24,3,0)*Table1[[#This Row],[Estimação (horas)]]</f>
        <v>0.5</v>
      </c>
      <c r="X830" s="2"/>
    </row>
    <row r="831" spans="2:24" ht="17.7" hidden="1" customHeight="1" x14ac:dyDescent="0.25">
      <c r="B831" s="13" t="s">
        <v>26</v>
      </c>
      <c r="C831" s="13" t="s">
        <v>181</v>
      </c>
      <c r="D831" s="13" t="s">
        <v>1305</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1316</v>
      </c>
      <c r="Q831" s="2"/>
      <c r="R831" s="152">
        <v>45261</v>
      </c>
      <c r="S831" s="152"/>
      <c r="T831" s="152"/>
      <c r="U831" s="152">
        <v>45603</v>
      </c>
      <c r="V831" s="152">
        <v>45534</v>
      </c>
      <c r="W831" s="2">
        <f>VLOOKUP(Table1[[#This Row],[Status]],Auxiliar!$B$16:$D$24,3,0)*Table1[[#This Row],[Estimação (horas)]]</f>
        <v>0.1</v>
      </c>
      <c r="X831" s="2"/>
    </row>
    <row r="832" spans="2:24" ht="17.7" hidden="1" customHeight="1" x14ac:dyDescent="0.25">
      <c r="B832" s="13" t="s">
        <v>26</v>
      </c>
      <c r="C832" s="13" t="s">
        <v>181</v>
      </c>
      <c r="D832" s="13" t="s">
        <v>1305</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1315</v>
      </c>
      <c r="Q832" s="2"/>
      <c r="R832" s="152">
        <v>45261</v>
      </c>
      <c r="S832" s="152"/>
      <c r="T832" s="152"/>
      <c r="U832" s="152">
        <v>45603</v>
      </c>
      <c r="V832" s="152">
        <v>45534</v>
      </c>
      <c r="W832" s="2">
        <f>VLOOKUP(Table1[[#This Row],[Status]],Auxiliar!$B$16:$D$24,3,0)*Table1[[#This Row],[Estimação (horas)]]</f>
        <v>0.5</v>
      </c>
      <c r="X832" s="2"/>
    </row>
    <row r="833" spans="2:24" ht="17.7" hidden="1" customHeight="1" x14ac:dyDescent="0.25">
      <c r="B833" s="13" t="s">
        <v>26</v>
      </c>
      <c r="C833" s="13" t="s">
        <v>181</v>
      </c>
      <c r="D833" s="13" t="s">
        <v>1305</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1316</v>
      </c>
      <c r="Q833" s="2"/>
      <c r="R833" s="152">
        <v>45261</v>
      </c>
      <c r="S833" s="152"/>
      <c r="T833" s="152"/>
      <c r="U833" s="152">
        <v>45603</v>
      </c>
      <c r="V833" s="152">
        <v>45534</v>
      </c>
      <c r="W833" s="2">
        <f>VLOOKUP(Table1[[#This Row],[Status]],Auxiliar!$B$16:$D$24,3,0)*Table1[[#This Row],[Estimação (horas)]]</f>
        <v>0.1</v>
      </c>
      <c r="X833" s="2"/>
    </row>
    <row r="834" spans="2:24" ht="17.7" hidden="1" customHeight="1" x14ac:dyDescent="0.25">
      <c r="B834" s="13" t="s">
        <v>26</v>
      </c>
      <c r="C834" s="13" t="s">
        <v>181</v>
      </c>
      <c r="D834" s="13" t="s">
        <v>1305</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1315</v>
      </c>
      <c r="Q834" s="2"/>
      <c r="R834" s="152">
        <v>45261</v>
      </c>
      <c r="S834" s="152"/>
      <c r="T834" s="152"/>
      <c r="U834" s="152">
        <v>45603</v>
      </c>
      <c r="V834" s="152">
        <v>45534</v>
      </c>
      <c r="W834" s="2">
        <f>VLOOKUP(Table1[[#This Row],[Status]],Auxiliar!$B$16:$D$24,3,0)*Table1[[#This Row],[Estimação (horas)]]</f>
        <v>0.5</v>
      </c>
      <c r="X834" s="2"/>
    </row>
    <row r="835" spans="2:24" ht="17.7" hidden="1" customHeight="1" x14ac:dyDescent="0.25">
      <c r="B835" s="13" t="s">
        <v>26</v>
      </c>
      <c r="C835" s="13" t="s">
        <v>181</v>
      </c>
      <c r="D835" s="13" t="s">
        <v>1305</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1316</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x14ac:dyDescent="0.25">
      <c r="B836" s="13" t="s">
        <v>26</v>
      </c>
      <c r="C836" s="13" t="s">
        <v>181</v>
      </c>
      <c r="D836" s="13" t="s">
        <v>1305</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1317</v>
      </c>
      <c r="Q836" s="2"/>
      <c r="R836" s="152">
        <v>45261</v>
      </c>
      <c r="S836" s="152"/>
      <c r="T836" s="152"/>
      <c r="U836" s="152">
        <v>45603</v>
      </c>
      <c r="V836" s="152">
        <v>45534</v>
      </c>
      <c r="W836" s="2">
        <f>VLOOKUP(Table1[[#This Row],[Status]],Auxiliar!$B$16:$D$24,3,0)*Table1[[#This Row],[Estimação (horas)]]</f>
        <v>0.5</v>
      </c>
      <c r="X836" s="2"/>
    </row>
    <row r="837" spans="2:24" ht="17.7" hidden="1" customHeight="1" x14ac:dyDescent="0.25">
      <c r="B837" s="13" t="s">
        <v>26</v>
      </c>
      <c r="C837" s="13" t="s">
        <v>181</v>
      </c>
      <c r="D837" s="13" t="s">
        <v>1305</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1318</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x14ac:dyDescent="0.25">
      <c r="B838" s="13" t="s">
        <v>26</v>
      </c>
      <c r="C838" s="13" t="s">
        <v>181</v>
      </c>
      <c r="D838" s="13" t="s">
        <v>1305</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1317</v>
      </c>
      <c r="Q838" s="2"/>
      <c r="R838" s="152">
        <v>45261</v>
      </c>
      <c r="S838" s="152"/>
      <c r="T838" s="152"/>
      <c r="U838" s="152">
        <v>45603</v>
      </c>
      <c r="V838" s="152">
        <v>45534</v>
      </c>
      <c r="W838" s="2">
        <f>VLOOKUP(Table1[[#This Row],[Status]],Auxiliar!$B$16:$D$24,3,0)*Table1[[#This Row],[Estimação (horas)]]</f>
        <v>0.5</v>
      </c>
      <c r="X838" s="2"/>
    </row>
    <row r="839" spans="2:24" ht="17.7" hidden="1" customHeight="1" x14ac:dyDescent="0.25">
      <c r="B839" s="13" t="s">
        <v>26</v>
      </c>
      <c r="C839" s="13" t="s">
        <v>181</v>
      </c>
      <c r="D839" s="13" t="s">
        <v>1305</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1318</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x14ac:dyDescent="0.25">
      <c r="B840" s="13" t="s">
        <v>26</v>
      </c>
      <c r="C840" s="13" t="s">
        <v>181</v>
      </c>
      <c r="D840" s="13" t="s">
        <v>1305</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1317</v>
      </c>
      <c r="Q840" s="2"/>
      <c r="R840" s="152">
        <v>45261</v>
      </c>
      <c r="S840" s="152"/>
      <c r="T840" s="152"/>
      <c r="U840" s="152">
        <v>45603</v>
      </c>
      <c r="V840" s="152">
        <v>45534</v>
      </c>
      <c r="W840" s="2">
        <f>VLOOKUP(Table1[[#This Row],[Status]],Auxiliar!$B$16:$D$24,3,0)*Table1[[#This Row],[Estimação (horas)]]</f>
        <v>0.5</v>
      </c>
      <c r="X840" s="2"/>
    </row>
    <row r="841" spans="2:24" ht="17.7" hidden="1" customHeight="1" x14ac:dyDescent="0.25">
      <c r="B841" s="13" t="s">
        <v>26</v>
      </c>
      <c r="C841" s="13" t="s">
        <v>181</v>
      </c>
      <c r="D841" s="13" t="s">
        <v>1305</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1319</v>
      </c>
      <c r="Q841" s="2"/>
      <c r="R841" s="152">
        <v>45261</v>
      </c>
      <c r="S841" s="152"/>
      <c r="T841" s="152"/>
      <c r="U841" s="152">
        <v>45603</v>
      </c>
      <c r="V841" s="152">
        <v>45534</v>
      </c>
      <c r="W841" s="2">
        <f>VLOOKUP(Table1[[#This Row],[Status]],Auxiliar!$B$16:$D$24,3,0)*Table1[[#This Row],[Estimação (horas)]]</f>
        <v>0.1</v>
      </c>
      <c r="X841" s="2"/>
    </row>
    <row r="842" spans="2:24" ht="52.2" hidden="1" customHeight="1" x14ac:dyDescent="0.25">
      <c r="B842" s="13" t="s">
        <v>26</v>
      </c>
      <c r="C842" s="13" t="s">
        <v>181</v>
      </c>
      <c r="D842" s="13" t="s">
        <v>1305</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1320</v>
      </c>
      <c r="Q842" s="2"/>
      <c r="R842" s="152">
        <v>45261</v>
      </c>
      <c r="S842" s="152"/>
      <c r="T842" s="152"/>
      <c r="U842" s="152">
        <v>45603</v>
      </c>
      <c r="V842" s="152">
        <v>45534</v>
      </c>
      <c r="W842" s="2">
        <f>VLOOKUP(Table1[[#This Row],[Status]],Auxiliar!$B$16:$D$24,3,0)*Table1[[#This Row],[Estimação (horas)]]</f>
        <v>0.5</v>
      </c>
      <c r="X842" s="2"/>
    </row>
    <row r="843" spans="2:24" ht="17.7" hidden="1" customHeight="1" x14ac:dyDescent="0.25">
      <c r="B843" s="13" t="s">
        <v>26</v>
      </c>
      <c r="C843" s="13" t="s">
        <v>181</v>
      </c>
      <c r="D843" s="13" t="s">
        <v>1305</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x14ac:dyDescent="0.25">
      <c r="B844" s="13" t="s">
        <v>26</v>
      </c>
      <c r="C844" s="13" t="s">
        <v>181</v>
      </c>
      <c r="D844" s="13" t="s">
        <v>1305</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1321</v>
      </c>
      <c r="Q844" s="2"/>
      <c r="R844" s="152">
        <v>45261</v>
      </c>
      <c r="S844" s="152"/>
      <c r="T844" s="152"/>
      <c r="U844" s="152">
        <v>45603</v>
      </c>
      <c r="V844" s="152">
        <v>45534</v>
      </c>
      <c r="W844" s="2">
        <f>VLOOKUP(Table1[[#This Row],[Status]],Auxiliar!$B$16:$D$24,3,0)*Table1[[#This Row],[Estimação (horas)]]</f>
        <v>0.1</v>
      </c>
      <c r="X844" s="2"/>
    </row>
    <row r="845" spans="2:24" ht="17.7" hidden="1" customHeight="1" x14ac:dyDescent="0.25">
      <c r="B845" s="13" t="s">
        <v>26</v>
      </c>
      <c r="C845" s="13" t="s">
        <v>181</v>
      </c>
      <c r="D845" s="13" t="s">
        <v>1305</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x14ac:dyDescent="0.25">
      <c r="B846" s="13" t="s">
        <v>26</v>
      </c>
      <c r="C846" s="13" t="s">
        <v>181</v>
      </c>
      <c r="D846" s="13" t="s">
        <v>1305</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1322</v>
      </c>
      <c r="Q846" s="2"/>
      <c r="R846" s="152">
        <v>45261</v>
      </c>
      <c r="S846" s="152"/>
      <c r="T846" s="152"/>
      <c r="U846" s="152">
        <v>45603</v>
      </c>
      <c r="V846" s="152">
        <v>45534</v>
      </c>
      <c r="W846" s="2">
        <f>VLOOKUP(Table1[[#This Row],[Status]],Auxiliar!$B$16:$D$24,3,0)*Table1[[#This Row],[Estimação (horas)]]</f>
        <v>0.1</v>
      </c>
      <c r="X846" s="2"/>
    </row>
    <row r="847" spans="2:24" ht="17.7" hidden="1" customHeight="1" x14ac:dyDescent="0.25">
      <c r="B847" s="13" t="s">
        <v>26</v>
      </c>
      <c r="C847" s="13" t="s">
        <v>181</v>
      </c>
      <c r="D847" s="13" t="s">
        <v>1305</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1323</v>
      </c>
      <c r="Q847" s="2"/>
      <c r="R847" s="152">
        <v>45261</v>
      </c>
      <c r="S847" s="152"/>
      <c r="T847" s="152"/>
      <c r="U847" s="152">
        <v>45603</v>
      </c>
      <c r="V847" s="152">
        <v>45534</v>
      </c>
      <c r="W847" s="2">
        <f>VLOOKUP(Table1[[#This Row],[Status]],Auxiliar!$B$16:$D$24,3,0)*Table1[[#This Row],[Estimação (horas)]]</f>
        <v>0.5</v>
      </c>
      <c r="X847" s="2"/>
    </row>
    <row r="848" spans="2:24" ht="17.7" hidden="1" customHeight="1" x14ac:dyDescent="0.25">
      <c r="B848" s="13" t="s">
        <v>26</v>
      </c>
      <c r="C848" s="13" t="s">
        <v>181</v>
      </c>
      <c r="D848" s="13" t="s">
        <v>1305</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1321</v>
      </c>
      <c r="Q848" s="2"/>
      <c r="R848" s="152">
        <v>45261</v>
      </c>
      <c r="S848" s="152"/>
      <c r="T848" s="152"/>
      <c r="U848" s="152">
        <v>45603</v>
      </c>
      <c r="V848" s="152">
        <v>45534</v>
      </c>
      <c r="W848" s="2">
        <f>VLOOKUP(Table1[[#This Row],[Status]],Auxiliar!$B$16:$D$24,3,0)*Table1[[#This Row],[Estimação (horas)]]</f>
        <v>0.1</v>
      </c>
      <c r="X848" s="2"/>
    </row>
    <row r="849" spans="2:24" ht="17.7" hidden="1" customHeight="1" x14ac:dyDescent="0.25">
      <c r="B849" s="13" t="s">
        <v>26</v>
      </c>
      <c r="C849" s="13" t="s">
        <v>181</v>
      </c>
      <c r="D849" s="13" t="s">
        <v>1305</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x14ac:dyDescent="0.25">
      <c r="B850" s="13" t="s">
        <v>26</v>
      </c>
      <c r="C850" s="13" t="s">
        <v>181</v>
      </c>
      <c r="D850" s="13" t="s">
        <v>1305</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1321</v>
      </c>
      <c r="Q850" s="2"/>
      <c r="R850" s="152">
        <v>45261</v>
      </c>
      <c r="S850" s="152"/>
      <c r="T850" s="152"/>
      <c r="U850" s="152">
        <v>45603</v>
      </c>
      <c r="V850" s="152">
        <v>45534</v>
      </c>
      <c r="W850" s="2">
        <f>VLOOKUP(Table1[[#This Row],[Status]],Auxiliar!$B$16:$D$24,3,0)*Table1[[#This Row],[Estimação (horas)]]</f>
        <v>0.1</v>
      </c>
      <c r="X850" s="2"/>
    </row>
    <row r="851" spans="2:24" ht="17.7" hidden="1" customHeight="1" x14ac:dyDescent="0.25">
      <c r="B851" s="13" t="s">
        <v>26</v>
      </c>
      <c r="C851" s="13" t="s">
        <v>181</v>
      </c>
      <c r="D851" s="13" t="s">
        <v>1305</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x14ac:dyDescent="0.25">
      <c r="B852" s="13" t="s">
        <v>26</v>
      </c>
      <c r="C852" s="13" t="s">
        <v>181</v>
      </c>
      <c r="D852" s="13" t="s">
        <v>1305</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1321</v>
      </c>
      <c r="Q852" s="2"/>
      <c r="R852" s="152">
        <v>45261</v>
      </c>
      <c r="S852" s="152"/>
      <c r="T852" s="152"/>
      <c r="U852" s="152">
        <v>45603</v>
      </c>
      <c r="V852" s="152">
        <v>45534</v>
      </c>
      <c r="W852" s="2">
        <f>VLOOKUP(Table1[[#This Row],[Status]],Auxiliar!$B$16:$D$24,3,0)*Table1[[#This Row],[Estimação (horas)]]</f>
        <v>0.1</v>
      </c>
      <c r="X852" s="2"/>
    </row>
    <row r="853" spans="2:24" ht="17.7" hidden="1" customHeight="1" x14ac:dyDescent="0.25">
      <c r="B853" s="13" t="s">
        <v>26</v>
      </c>
      <c r="C853" s="13" t="s">
        <v>181</v>
      </c>
      <c r="D853" s="13" t="s">
        <v>1305</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x14ac:dyDescent="0.25">
      <c r="B854" s="13" t="s">
        <v>26</v>
      </c>
      <c r="C854" s="13" t="s">
        <v>181</v>
      </c>
      <c r="D854" s="13" t="s">
        <v>1309</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1324</v>
      </c>
    </row>
    <row r="855" spans="2:24" ht="17.7" hidden="1" customHeight="1" x14ac:dyDescent="0.25">
      <c r="B855" s="13" t="s">
        <v>26</v>
      </c>
      <c r="C855" s="13" t="s">
        <v>181</v>
      </c>
      <c r="D855" s="13" t="s">
        <v>1309</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1325</v>
      </c>
      <c r="Q855" s="2"/>
      <c r="R855" s="152">
        <v>45261</v>
      </c>
      <c r="S855" s="152"/>
      <c r="T855" s="152"/>
      <c r="U855" s="152">
        <v>45603</v>
      </c>
      <c r="V855" s="152"/>
      <c r="W855" s="2">
        <f>VLOOKUP(Table1[[#This Row],[Status]],Auxiliar!$B$16:$D$24,3,0)*Table1[[#This Row],[Estimação (horas)]]</f>
        <v>0.1</v>
      </c>
      <c r="X855" s="2" t="s">
        <v>1324</v>
      </c>
    </row>
    <row r="856" spans="2:24" ht="17.7" hidden="1" customHeight="1" x14ac:dyDescent="0.25">
      <c r="B856" s="13" t="s">
        <v>26</v>
      </c>
      <c r="C856" s="13" t="s">
        <v>181</v>
      </c>
      <c r="D856" s="13" t="s">
        <v>1309</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1324</v>
      </c>
    </row>
    <row r="857" spans="2:24" ht="17.7" hidden="1" customHeight="1" x14ac:dyDescent="0.25">
      <c r="B857" s="13" t="s">
        <v>26</v>
      </c>
      <c r="C857" s="13" t="s">
        <v>181</v>
      </c>
      <c r="D857" s="13" t="s">
        <v>1309</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1325</v>
      </c>
      <c r="Q857" s="2"/>
      <c r="R857" s="152">
        <v>45261</v>
      </c>
      <c r="S857" s="152"/>
      <c r="T857" s="152"/>
      <c r="U857" s="152">
        <v>45603</v>
      </c>
      <c r="V857" s="152"/>
      <c r="W857" s="2">
        <f>VLOOKUP(Table1[[#This Row],[Status]],Auxiliar!$B$16:$D$24,3,0)*Table1[[#This Row],[Estimação (horas)]]</f>
        <v>0.1</v>
      </c>
      <c r="X857" s="2" t="s">
        <v>1324</v>
      </c>
    </row>
    <row r="858" spans="2:24" ht="17.7" hidden="1" customHeight="1" x14ac:dyDescent="0.25">
      <c r="B858" s="13" t="s">
        <v>26</v>
      </c>
      <c r="C858" s="13" t="s">
        <v>181</v>
      </c>
      <c r="D858" s="13" t="s">
        <v>1309</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1324</v>
      </c>
    </row>
    <row r="859" spans="2:24" ht="17.7" hidden="1" customHeight="1" x14ac:dyDescent="0.25">
      <c r="B859" s="13" t="s">
        <v>26</v>
      </c>
      <c r="C859" s="13" t="s">
        <v>181</v>
      </c>
      <c r="D859" s="13" t="s">
        <v>1309</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1325</v>
      </c>
      <c r="Q859" s="2"/>
      <c r="R859" s="152">
        <v>45261</v>
      </c>
      <c r="S859" s="152"/>
      <c r="T859" s="152"/>
      <c r="U859" s="152">
        <v>45603</v>
      </c>
      <c r="V859" s="152"/>
      <c r="W859" s="2">
        <f>VLOOKUP(Table1[[#This Row],[Status]],Auxiliar!$B$16:$D$24,3,0)*Table1[[#This Row],[Estimação (horas)]]</f>
        <v>0.1</v>
      </c>
      <c r="X859" s="2" t="s">
        <v>1324</v>
      </c>
    </row>
    <row r="860" spans="2:24" ht="17.7" hidden="1" customHeight="1" x14ac:dyDescent="0.25">
      <c r="B860" s="13" t="s">
        <v>26</v>
      </c>
      <c r="C860" s="13" t="s">
        <v>181</v>
      </c>
      <c r="D860" s="13" t="s">
        <v>1309</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1324</v>
      </c>
    </row>
    <row r="861" spans="2:24" ht="17.7" hidden="1" customHeight="1" x14ac:dyDescent="0.25">
      <c r="B861" s="13" t="s">
        <v>26</v>
      </c>
      <c r="C861" s="13" t="s">
        <v>181</v>
      </c>
      <c r="D861" s="13" t="s">
        <v>1309</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1324</v>
      </c>
    </row>
    <row r="862" spans="2:24" ht="17.7" hidden="1" customHeight="1" x14ac:dyDescent="0.25">
      <c r="B862" s="13" t="s">
        <v>26</v>
      </c>
      <c r="C862" s="13" t="s">
        <v>181</v>
      </c>
      <c r="D862" s="13" t="s">
        <v>1309</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1324</v>
      </c>
    </row>
    <row r="863" spans="2:24" ht="17.7" hidden="1" customHeight="1" x14ac:dyDescent="0.25">
      <c r="B863" s="13" t="s">
        <v>26</v>
      </c>
      <c r="C863" s="13" t="s">
        <v>181</v>
      </c>
      <c r="D863" s="13" t="s">
        <v>1309</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1324</v>
      </c>
    </row>
    <row r="864" spans="2:24" ht="17.7" hidden="1" customHeight="1" x14ac:dyDescent="0.25">
      <c r="B864" s="13" t="s">
        <v>26</v>
      </c>
      <c r="C864" s="13" t="s">
        <v>181</v>
      </c>
      <c r="D864" s="13" t="s">
        <v>1312</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x14ac:dyDescent="0.25">
      <c r="B865" s="13" t="s">
        <v>26</v>
      </c>
      <c r="C865" s="13" t="s">
        <v>181</v>
      </c>
      <c r="D865" s="13" t="s">
        <v>1312</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1326</v>
      </c>
      <c r="Q865" s="2"/>
      <c r="R865" s="152">
        <v>45261</v>
      </c>
      <c r="S865" s="152"/>
      <c r="T865" s="152"/>
      <c r="U865" s="152">
        <v>45603</v>
      </c>
      <c r="V865" s="152">
        <v>45534</v>
      </c>
      <c r="W865" s="2">
        <f>VLOOKUP(Table1[[#This Row],[Status]],Auxiliar!$B$16:$D$24,3,0)*Table1[[#This Row],[Estimação (horas)]]</f>
        <v>0.1</v>
      </c>
      <c r="X865" s="2"/>
    </row>
    <row r="866" spans="2:24" ht="17.7" hidden="1" customHeight="1" x14ac:dyDescent="0.25">
      <c r="B866" s="13" t="s">
        <v>26</v>
      </c>
      <c r="C866" s="13" t="s">
        <v>181</v>
      </c>
      <c r="D866" s="13" t="s">
        <v>1312</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x14ac:dyDescent="0.25">
      <c r="B867" s="13" t="s">
        <v>26</v>
      </c>
      <c r="C867" s="13" t="s">
        <v>181</v>
      </c>
      <c r="D867" s="13" t="s">
        <v>1312</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1326</v>
      </c>
      <c r="Q867" s="2"/>
      <c r="R867" s="152">
        <v>45261</v>
      </c>
      <c r="S867" s="152"/>
      <c r="T867" s="152"/>
      <c r="U867" s="152">
        <v>45603</v>
      </c>
      <c r="V867" s="152">
        <v>45534</v>
      </c>
      <c r="W867" s="2">
        <f>VLOOKUP(Table1[[#This Row],[Status]],Auxiliar!$B$16:$D$24,3,0)*Table1[[#This Row],[Estimação (horas)]]</f>
        <v>0.1</v>
      </c>
      <c r="X867" s="2"/>
    </row>
    <row r="868" spans="2:24" ht="17.7" hidden="1" customHeight="1" x14ac:dyDescent="0.25">
      <c r="B868" s="13" t="s">
        <v>26</v>
      </c>
      <c r="C868" s="13" t="s">
        <v>181</v>
      </c>
      <c r="D868" s="13" t="s">
        <v>1312</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x14ac:dyDescent="0.25">
      <c r="B869" s="13" t="s">
        <v>26</v>
      </c>
      <c r="C869" s="13" t="s">
        <v>181</v>
      </c>
      <c r="D869" s="13" t="s">
        <v>1312</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x14ac:dyDescent="0.25">
      <c r="B870" s="13" t="s">
        <v>26</v>
      </c>
      <c r="C870" s="13" t="s">
        <v>181</v>
      </c>
      <c r="D870" s="13" t="s">
        <v>1312</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x14ac:dyDescent="0.25">
      <c r="B871" s="13" t="s">
        <v>26</v>
      </c>
      <c r="C871" s="13" t="s">
        <v>181</v>
      </c>
      <c r="D871" s="13" t="s">
        <v>1312</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x14ac:dyDescent="0.25">
      <c r="B872" s="13" t="s">
        <v>26</v>
      </c>
      <c r="C872" s="13" t="s">
        <v>181</v>
      </c>
      <c r="D872" s="13" t="s">
        <v>1312</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x14ac:dyDescent="0.25">
      <c r="B873" s="13" t="s">
        <v>26</v>
      </c>
      <c r="C873" s="13" t="s">
        <v>181</v>
      </c>
      <c r="D873" s="13" t="s">
        <v>1312</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1327</v>
      </c>
      <c r="Q873" s="2"/>
      <c r="R873" s="152">
        <v>45261</v>
      </c>
      <c r="S873" s="152"/>
      <c r="T873" s="152"/>
      <c r="U873" s="152">
        <v>45603</v>
      </c>
      <c r="V873" s="152">
        <v>45534</v>
      </c>
      <c r="W873" s="2">
        <f>VLOOKUP(Table1[[#This Row],[Status]],Auxiliar!$B$16:$D$24,3,0)*Table1[[#This Row],[Estimação (horas)]]</f>
        <v>0.1</v>
      </c>
      <c r="X873" s="2"/>
    </row>
    <row r="874" spans="2:24" ht="17.7" hidden="1" customHeight="1" x14ac:dyDescent="0.25">
      <c r="B874" s="13" t="s">
        <v>26</v>
      </c>
      <c r="C874" s="13" t="s">
        <v>181</v>
      </c>
      <c r="D874" s="13" t="s">
        <v>1312</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x14ac:dyDescent="0.25">
      <c r="B875" s="13" t="s">
        <v>26</v>
      </c>
      <c r="C875" s="13" t="s">
        <v>181</v>
      </c>
      <c r="D875" s="13" t="s">
        <v>1312</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1327</v>
      </c>
      <c r="Q875" s="2"/>
      <c r="R875" s="152">
        <v>45261</v>
      </c>
      <c r="S875" s="152"/>
      <c r="T875" s="152"/>
      <c r="U875" s="152">
        <v>45603</v>
      </c>
      <c r="V875" s="152">
        <v>45534</v>
      </c>
      <c r="W875" s="2">
        <f>VLOOKUP(Table1[[#This Row],[Status]],Auxiliar!$B$16:$D$24,3,0)*Table1[[#This Row],[Estimação (horas)]]</f>
        <v>0.1</v>
      </c>
      <c r="X875" s="2"/>
    </row>
    <row r="876" spans="2:24" ht="17.7" hidden="1" customHeight="1" x14ac:dyDescent="0.25">
      <c r="B876" s="13" t="s">
        <v>26</v>
      </c>
      <c r="C876" s="13" t="s">
        <v>181</v>
      </c>
      <c r="D876" s="13" t="s">
        <v>1312</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x14ac:dyDescent="0.25">
      <c r="B877" s="13" t="s">
        <v>26</v>
      </c>
      <c r="C877" s="13" t="s">
        <v>181</v>
      </c>
      <c r="D877" s="13" t="s">
        <v>1312</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1327</v>
      </c>
      <c r="Q877" s="2"/>
      <c r="R877" s="152">
        <v>45261</v>
      </c>
      <c r="S877" s="152"/>
      <c r="T877" s="152"/>
      <c r="U877" s="152">
        <v>45603</v>
      </c>
      <c r="V877" s="152">
        <v>45534</v>
      </c>
      <c r="W877" s="2">
        <f>VLOOKUP(Table1[[#This Row],[Status]],Auxiliar!$B$16:$D$24,3,0)*Table1[[#This Row],[Estimação (horas)]]</f>
        <v>0.1</v>
      </c>
      <c r="X877" s="2"/>
    </row>
    <row r="878" spans="2:24" ht="17.7" hidden="1" customHeight="1" x14ac:dyDescent="0.25">
      <c r="B878" s="13" t="s">
        <v>26</v>
      </c>
      <c r="C878" s="13" t="s">
        <v>181</v>
      </c>
      <c r="D878" s="13" t="s">
        <v>1312</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x14ac:dyDescent="0.25">
      <c r="B879" s="13" t="s">
        <v>26</v>
      </c>
      <c r="C879" s="13" t="s">
        <v>181</v>
      </c>
      <c r="D879" s="13" t="s">
        <v>1312</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1327</v>
      </c>
      <c r="Q879" s="2"/>
      <c r="R879" s="152">
        <v>45261</v>
      </c>
      <c r="S879" s="152"/>
      <c r="T879" s="152"/>
      <c r="U879" s="152">
        <v>45603</v>
      </c>
      <c r="V879" s="152">
        <v>45534</v>
      </c>
      <c r="W879" s="2">
        <f>VLOOKUP(Table1[[#This Row],[Status]],Auxiliar!$B$16:$D$24,3,0)*Table1[[#This Row],[Estimação (horas)]]</f>
        <v>0.1</v>
      </c>
      <c r="X879" s="2"/>
    </row>
    <row r="880" spans="2:24" ht="17.7" hidden="1" customHeight="1" x14ac:dyDescent="0.25">
      <c r="B880" s="13" t="s">
        <v>26</v>
      </c>
      <c r="C880" s="13" t="s">
        <v>181</v>
      </c>
      <c r="D880" s="13" t="s">
        <v>1312</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x14ac:dyDescent="0.25">
      <c r="B881" s="13" t="s">
        <v>26</v>
      </c>
      <c r="C881" s="13" t="s">
        <v>181</v>
      </c>
      <c r="D881" s="13" t="s">
        <v>1312</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1327</v>
      </c>
      <c r="Q881" s="2"/>
      <c r="R881" s="152">
        <v>45261</v>
      </c>
      <c r="S881" s="152"/>
      <c r="T881" s="152"/>
      <c r="U881" s="152">
        <v>45603</v>
      </c>
      <c r="V881" s="152">
        <v>45534</v>
      </c>
      <c r="W881" s="2">
        <f>VLOOKUP(Table1[[#This Row],[Status]],Auxiliar!$B$16:$D$24,3,0)*Table1[[#This Row],[Estimação (horas)]]</f>
        <v>0.1</v>
      </c>
      <c r="X881" s="2"/>
    </row>
    <row r="882" spans="2:24" ht="17.7" hidden="1" customHeight="1" x14ac:dyDescent="0.25">
      <c r="B882" s="13" t="s">
        <v>26</v>
      </c>
      <c r="C882" s="13" t="s">
        <v>181</v>
      </c>
      <c r="D882" s="13" t="s">
        <v>1312</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x14ac:dyDescent="0.25">
      <c r="B883" s="13" t="s">
        <v>26</v>
      </c>
      <c r="C883" s="13" t="s">
        <v>181</v>
      </c>
      <c r="D883" s="13" t="s">
        <v>1312</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1327</v>
      </c>
      <c r="Q883" s="2"/>
      <c r="R883" s="152">
        <v>45261</v>
      </c>
      <c r="S883" s="152"/>
      <c r="T883" s="152"/>
      <c r="U883" s="152">
        <v>45603</v>
      </c>
      <c r="V883" s="152">
        <v>45534</v>
      </c>
      <c r="W883" s="2">
        <f>VLOOKUP(Table1[[#This Row],[Status]],Auxiliar!$B$16:$D$24,3,0)*Table1[[#This Row],[Estimação (horas)]]</f>
        <v>0.1</v>
      </c>
      <c r="X883" s="2"/>
    </row>
    <row r="884" spans="2:24" ht="17.7" hidden="1" customHeight="1" x14ac:dyDescent="0.25">
      <c r="B884" s="13" t="s">
        <v>26</v>
      </c>
      <c r="C884" s="13" t="s">
        <v>181</v>
      </c>
      <c r="D884" s="13" t="s">
        <v>1312</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x14ac:dyDescent="0.25">
      <c r="B885" s="13" t="s">
        <v>26</v>
      </c>
      <c r="C885" s="13" t="s">
        <v>181</v>
      </c>
      <c r="D885" s="13" t="s">
        <v>1312</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1327</v>
      </c>
      <c r="Q885" s="2"/>
      <c r="R885" s="152">
        <v>45261</v>
      </c>
      <c r="S885" s="152"/>
      <c r="T885" s="152"/>
      <c r="U885" s="152">
        <v>45603</v>
      </c>
      <c r="V885" s="152">
        <v>45534</v>
      </c>
      <c r="W885" s="2">
        <f>VLOOKUP(Table1[[#This Row],[Status]],Auxiliar!$B$16:$D$24,3,0)*Table1[[#This Row],[Estimação (horas)]]</f>
        <v>0.1</v>
      </c>
      <c r="X885" s="2"/>
    </row>
    <row r="886" spans="2:24" ht="17.7" hidden="1" customHeight="1" x14ac:dyDescent="0.25">
      <c r="B886" s="13" t="s">
        <v>26</v>
      </c>
      <c r="C886" s="13" t="s">
        <v>181</v>
      </c>
      <c r="D886" s="13" t="s">
        <v>1312</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x14ac:dyDescent="0.25">
      <c r="B887" s="13" t="s">
        <v>26</v>
      </c>
      <c r="C887" s="13" t="s">
        <v>181</v>
      </c>
      <c r="D887" s="13" t="s">
        <v>1312</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1327</v>
      </c>
      <c r="Q887" s="2"/>
      <c r="R887" s="152">
        <v>45261</v>
      </c>
      <c r="S887" s="152"/>
      <c r="T887" s="152"/>
      <c r="U887" s="152">
        <v>45603</v>
      </c>
      <c r="V887" s="152">
        <v>45534</v>
      </c>
      <c r="W887" s="2">
        <f>VLOOKUP(Table1[[#This Row],[Status]],Auxiliar!$B$16:$D$24,3,0)*Table1[[#This Row],[Estimação (horas)]]</f>
        <v>0.1</v>
      </c>
      <c r="X887" s="2"/>
    </row>
    <row r="888" spans="2:24" ht="17.7" hidden="1" customHeight="1" x14ac:dyDescent="0.25">
      <c r="B888" s="13" t="s">
        <v>26</v>
      </c>
      <c r="C888" s="13" t="s">
        <v>181</v>
      </c>
      <c r="D888" s="13" t="s">
        <v>1312</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x14ac:dyDescent="0.25">
      <c r="B889" s="13" t="s">
        <v>26</v>
      </c>
      <c r="C889" s="13" t="s">
        <v>181</v>
      </c>
      <c r="D889" s="13" t="s">
        <v>1312</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1327</v>
      </c>
      <c r="Q889" s="2"/>
      <c r="R889" s="152">
        <v>45261</v>
      </c>
      <c r="S889" s="152"/>
      <c r="T889" s="152"/>
      <c r="U889" s="152">
        <v>45603</v>
      </c>
      <c r="V889" s="152">
        <v>45534</v>
      </c>
      <c r="W889" s="2">
        <f>VLOOKUP(Table1[[#This Row],[Status]],Auxiliar!$B$16:$D$24,3,0)*Table1[[#This Row],[Estimação (horas)]]</f>
        <v>0.1</v>
      </c>
      <c r="X889" s="2"/>
    </row>
    <row r="890" spans="2:24" ht="17.7" hidden="1" customHeight="1" x14ac:dyDescent="0.25">
      <c r="B890" s="13" t="s">
        <v>26</v>
      </c>
      <c r="C890" s="13" t="s">
        <v>181</v>
      </c>
      <c r="D890" s="13" t="s">
        <v>1312</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x14ac:dyDescent="0.25">
      <c r="B891" s="13" t="s">
        <v>26</v>
      </c>
      <c r="C891" s="13" t="s">
        <v>181</v>
      </c>
      <c r="D891" s="13" t="s">
        <v>1312</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1327</v>
      </c>
      <c r="Q891" s="2"/>
      <c r="R891" s="152">
        <v>45261</v>
      </c>
      <c r="S891" s="152"/>
      <c r="T891" s="152"/>
      <c r="U891" s="152">
        <v>45603</v>
      </c>
      <c r="V891" s="152">
        <v>45534</v>
      </c>
      <c r="W891" s="2">
        <f>VLOOKUP(Table1[[#This Row],[Status]],Auxiliar!$B$16:$D$24,3,0)*Table1[[#This Row],[Estimação (horas)]]</f>
        <v>0.1</v>
      </c>
      <c r="X891" s="2"/>
    </row>
    <row r="892" spans="2:24" ht="17.7" hidden="1" customHeight="1" x14ac:dyDescent="0.25">
      <c r="B892" s="13" t="s">
        <v>26</v>
      </c>
      <c r="C892" s="13" t="s">
        <v>181</v>
      </c>
      <c r="D892" s="13" t="s">
        <v>1312</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x14ac:dyDescent="0.25">
      <c r="B893" s="13" t="s">
        <v>26</v>
      </c>
      <c r="C893" s="13" t="s">
        <v>181</v>
      </c>
      <c r="D893" s="13" t="s">
        <v>1312</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1327</v>
      </c>
      <c r="Q893" s="2"/>
      <c r="R893" s="152">
        <v>45261</v>
      </c>
      <c r="S893" s="152"/>
      <c r="T893" s="152"/>
      <c r="U893" s="152">
        <v>45603</v>
      </c>
      <c r="V893" s="152">
        <v>45534</v>
      </c>
      <c r="W893" s="2">
        <f>VLOOKUP(Table1[[#This Row],[Status]],Auxiliar!$B$16:$D$24,3,0)*Table1[[#This Row],[Estimação (horas)]]</f>
        <v>0.1</v>
      </c>
      <c r="X893" s="2"/>
    </row>
    <row r="894" spans="2:24" ht="17.7" hidden="1" customHeight="1" x14ac:dyDescent="0.25">
      <c r="B894" s="13" t="s">
        <v>26</v>
      </c>
      <c r="C894" s="13" t="s">
        <v>181</v>
      </c>
      <c r="D894" s="13" t="s">
        <v>1312</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x14ac:dyDescent="0.25">
      <c r="B895" s="13" t="s">
        <v>26</v>
      </c>
      <c r="C895" s="13" t="s">
        <v>181</v>
      </c>
      <c r="D895" s="13" t="s">
        <v>1312</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1327</v>
      </c>
      <c r="Q895" s="2"/>
      <c r="R895" s="152">
        <v>45261</v>
      </c>
      <c r="S895" s="152"/>
      <c r="T895" s="152"/>
      <c r="U895" s="152">
        <v>45603</v>
      </c>
      <c r="V895" s="152">
        <v>45534</v>
      </c>
      <c r="W895" s="2">
        <f>VLOOKUP(Table1[[#This Row],[Status]],Auxiliar!$B$16:$D$24,3,0)*Table1[[#This Row],[Estimação (horas)]]</f>
        <v>0.1</v>
      </c>
      <c r="X895" s="2"/>
    </row>
    <row r="896" spans="2:24" ht="17.7" hidden="1" customHeight="1" x14ac:dyDescent="0.25">
      <c r="B896" s="13" t="s">
        <v>26</v>
      </c>
      <c r="C896" s="13" t="s">
        <v>181</v>
      </c>
      <c r="D896" s="13" t="s">
        <v>1312</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x14ac:dyDescent="0.25">
      <c r="B897" s="13" t="s">
        <v>26</v>
      </c>
      <c r="C897" s="13" t="s">
        <v>181</v>
      </c>
      <c r="D897" s="13" t="s">
        <v>1312</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1327</v>
      </c>
      <c r="Q897" s="2"/>
      <c r="R897" s="152">
        <v>45261</v>
      </c>
      <c r="S897" s="152"/>
      <c r="T897" s="152"/>
      <c r="U897" s="152">
        <v>45603</v>
      </c>
      <c r="V897" s="152">
        <v>45534</v>
      </c>
      <c r="W897" s="2">
        <f>VLOOKUP(Table1[[#This Row],[Status]],Auxiliar!$B$16:$D$24,3,0)*Table1[[#This Row],[Estimação (horas)]]</f>
        <v>0.1</v>
      </c>
      <c r="X897" s="2"/>
    </row>
    <row r="898" spans="2:24" ht="17.7" hidden="1" customHeight="1" x14ac:dyDescent="0.25">
      <c r="B898" s="13" t="s">
        <v>26</v>
      </c>
      <c r="C898" s="13" t="s">
        <v>181</v>
      </c>
      <c r="D898" s="13" t="s">
        <v>1312</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x14ac:dyDescent="0.25">
      <c r="B899" s="13" t="s">
        <v>26</v>
      </c>
      <c r="C899" s="13" t="s">
        <v>181</v>
      </c>
      <c r="D899" s="13" t="s">
        <v>1312</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1328</v>
      </c>
      <c r="Q899" s="2"/>
      <c r="R899" s="152">
        <v>45261</v>
      </c>
      <c r="S899" s="152"/>
      <c r="T899" s="152"/>
      <c r="U899" s="152">
        <v>45603</v>
      </c>
      <c r="V899" s="152">
        <v>45534</v>
      </c>
      <c r="W899" s="2">
        <f>VLOOKUP(Table1[[#This Row],[Status]],Auxiliar!$B$16:$D$24,3,0)*Table1[[#This Row],[Estimação (horas)]]</f>
        <v>0.1</v>
      </c>
      <c r="X899" s="2"/>
    </row>
    <row r="900" spans="2:24" ht="17.7" hidden="1" customHeight="1" x14ac:dyDescent="0.25">
      <c r="B900" s="13" t="s">
        <v>26</v>
      </c>
      <c r="C900" s="13" t="s">
        <v>181</v>
      </c>
      <c r="D900" s="13" t="s">
        <v>1312</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x14ac:dyDescent="0.25">
      <c r="B901" s="13" t="s">
        <v>26</v>
      </c>
      <c r="C901" s="13" t="s">
        <v>181</v>
      </c>
      <c r="D901" s="13" t="s">
        <v>1312</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1329</v>
      </c>
      <c r="Q901" s="2"/>
      <c r="R901" s="152">
        <v>45261</v>
      </c>
      <c r="S901" s="152"/>
      <c r="T901" s="152"/>
      <c r="U901" s="152">
        <v>45603</v>
      </c>
      <c r="V901" s="152">
        <v>45534</v>
      </c>
      <c r="W901" s="2">
        <f>VLOOKUP(Table1[[#This Row],[Status]],Auxiliar!$B$16:$D$24,3,0)*Table1[[#This Row],[Estimação (horas)]]</f>
        <v>0.1</v>
      </c>
      <c r="X901" s="2"/>
    </row>
    <row r="902" spans="2:24" ht="17.7" hidden="1" customHeight="1" x14ac:dyDescent="0.25">
      <c r="B902" s="13" t="s">
        <v>26</v>
      </c>
      <c r="C902" s="13" t="s">
        <v>181</v>
      </c>
      <c r="D902" s="13" t="s">
        <v>1312</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x14ac:dyDescent="0.25">
      <c r="B903" s="13" t="s">
        <v>26</v>
      </c>
      <c r="C903" s="13" t="s">
        <v>181</v>
      </c>
      <c r="D903" s="13" t="s">
        <v>1312</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1329</v>
      </c>
      <c r="Q903" s="2"/>
      <c r="R903" s="152">
        <v>45261</v>
      </c>
      <c r="S903" s="152"/>
      <c r="T903" s="152"/>
      <c r="U903" s="152">
        <v>45603</v>
      </c>
      <c r="V903" s="152">
        <v>45534</v>
      </c>
      <c r="W903" s="2">
        <f>VLOOKUP(Table1[[#This Row],[Status]],Auxiliar!$B$16:$D$24,3,0)*Table1[[#This Row],[Estimação (horas)]]</f>
        <v>0.1</v>
      </c>
      <c r="X903" s="2"/>
    </row>
    <row r="904" spans="2:24" ht="17.7" hidden="1" customHeight="1" x14ac:dyDescent="0.25">
      <c r="B904" s="13" t="s">
        <v>26</v>
      </c>
      <c r="C904" s="13" t="s">
        <v>181</v>
      </c>
      <c r="D904" s="13" t="s">
        <v>1312</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x14ac:dyDescent="0.25">
      <c r="B905" s="13" t="s">
        <v>26</v>
      </c>
      <c r="C905" s="13" t="s">
        <v>181</v>
      </c>
      <c r="D905" s="13" t="s">
        <v>1312</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1329</v>
      </c>
      <c r="Q905" s="2"/>
      <c r="R905" s="152">
        <v>45261</v>
      </c>
      <c r="S905" s="152"/>
      <c r="T905" s="152"/>
      <c r="U905" s="152">
        <v>45603</v>
      </c>
      <c r="V905" s="152">
        <v>45534</v>
      </c>
      <c r="W905" s="2">
        <f>VLOOKUP(Table1[[#This Row],[Status]],Auxiliar!$B$16:$D$24,3,0)*Table1[[#This Row],[Estimação (horas)]]</f>
        <v>0.1</v>
      </c>
      <c r="X905" s="2"/>
    </row>
    <row r="906" spans="2:24" ht="17.7" hidden="1" customHeight="1" x14ac:dyDescent="0.25">
      <c r="B906" s="13" t="s">
        <v>26</v>
      </c>
      <c r="C906" s="13" t="s">
        <v>181</v>
      </c>
      <c r="D906" s="13" t="s">
        <v>1312</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x14ac:dyDescent="0.25">
      <c r="B907" s="13" t="s">
        <v>26</v>
      </c>
      <c r="C907" s="13" t="s">
        <v>181</v>
      </c>
      <c r="D907" s="13" t="s">
        <v>1312</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1329</v>
      </c>
      <c r="Q907" s="2"/>
      <c r="R907" s="152">
        <v>45261</v>
      </c>
      <c r="S907" s="152"/>
      <c r="T907" s="152"/>
      <c r="U907" s="152">
        <v>45603</v>
      </c>
      <c r="V907" s="152">
        <v>45534</v>
      </c>
      <c r="W907" s="2">
        <f>VLOOKUP(Table1[[#This Row],[Status]],Auxiliar!$B$16:$D$24,3,0)*Table1[[#This Row],[Estimação (horas)]]</f>
        <v>0.1</v>
      </c>
      <c r="X907" s="2"/>
    </row>
    <row r="908" spans="2:24" ht="17.7" hidden="1" customHeight="1" x14ac:dyDescent="0.25">
      <c r="B908" s="13" t="s">
        <v>26</v>
      </c>
      <c r="C908" s="13" t="s">
        <v>181</v>
      </c>
      <c r="D908" s="13" t="s">
        <v>1312</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x14ac:dyDescent="0.25">
      <c r="B909" s="13" t="s">
        <v>26</v>
      </c>
      <c r="C909" s="13" t="s">
        <v>181</v>
      </c>
      <c r="D909" s="13" t="s">
        <v>1312</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1329</v>
      </c>
      <c r="Q909" s="2"/>
      <c r="R909" s="152">
        <v>45261</v>
      </c>
      <c r="S909" s="152"/>
      <c r="T909" s="152"/>
      <c r="U909" s="152">
        <v>45603</v>
      </c>
      <c r="V909" s="152">
        <v>45534</v>
      </c>
      <c r="W909" s="2">
        <f>VLOOKUP(Table1[[#This Row],[Status]],Auxiliar!$B$16:$D$24,3,0)*Table1[[#This Row],[Estimação (horas)]]</f>
        <v>0.1</v>
      </c>
      <c r="X909" s="2"/>
    </row>
    <row r="910" spans="2:24" ht="17.7" hidden="1" customHeight="1" x14ac:dyDescent="0.25">
      <c r="B910" s="13" t="s">
        <v>26</v>
      </c>
      <c r="C910" s="13" t="s">
        <v>181</v>
      </c>
      <c r="D910" s="13" t="s">
        <v>1312</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x14ac:dyDescent="0.25">
      <c r="B911" s="13" t="s">
        <v>26</v>
      </c>
      <c r="C911" s="13" t="s">
        <v>181</v>
      </c>
      <c r="D911" s="13" t="s">
        <v>1312</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1329</v>
      </c>
      <c r="Q911" s="2"/>
      <c r="R911" s="152">
        <v>45261</v>
      </c>
      <c r="S911" s="152"/>
      <c r="T911" s="152"/>
      <c r="U911" s="152">
        <v>45603</v>
      </c>
      <c r="V911" s="152">
        <v>45534</v>
      </c>
      <c r="W911" s="2">
        <f>VLOOKUP(Table1[[#This Row],[Status]],Auxiliar!$B$16:$D$24,3,0)*Table1[[#This Row],[Estimação (horas)]]</f>
        <v>0.1</v>
      </c>
      <c r="X911" s="2"/>
    </row>
    <row r="912" spans="2:24" ht="17.7" hidden="1" customHeight="1" x14ac:dyDescent="0.25">
      <c r="B912" s="13" t="s">
        <v>26</v>
      </c>
      <c r="C912" s="13" t="s">
        <v>181</v>
      </c>
      <c r="D912" s="13" t="s">
        <v>1312</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x14ac:dyDescent="0.25">
      <c r="B913" s="13" t="s">
        <v>26</v>
      </c>
      <c r="C913" s="13" t="s">
        <v>181</v>
      </c>
      <c r="D913" s="13" t="s">
        <v>1312</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1329</v>
      </c>
      <c r="Q913" s="2"/>
      <c r="R913" s="152">
        <v>45261</v>
      </c>
      <c r="S913" s="152"/>
      <c r="T913" s="152"/>
      <c r="U913" s="152">
        <v>45603</v>
      </c>
      <c r="V913" s="152">
        <v>45534</v>
      </c>
      <c r="W913" s="2">
        <f>VLOOKUP(Table1[[#This Row],[Status]],Auxiliar!$B$16:$D$24,3,0)*Table1[[#This Row],[Estimação (horas)]]</f>
        <v>0.1</v>
      </c>
      <c r="X913" s="2"/>
    </row>
    <row r="914" spans="2:24" ht="17.7" hidden="1" customHeight="1" x14ac:dyDescent="0.25">
      <c r="B914" s="13" t="s">
        <v>26</v>
      </c>
      <c r="C914" s="13" t="s">
        <v>181</v>
      </c>
      <c r="D914" s="13" t="s">
        <v>1312</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x14ac:dyDescent="0.25">
      <c r="B915" s="13" t="s">
        <v>26</v>
      </c>
      <c r="C915" s="13" t="s">
        <v>181</v>
      </c>
      <c r="D915" s="13" t="s">
        <v>1312</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1329</v>
      </c>
      <c r="Q915" s="2"/>
      <c r="R915" s="152">
        <v>45261</v>
      </c>
      <c r="S915" s="152"/>
      <c r="T915" s="152"/>
      <c r="U915" s="152">
        <v>45603</v>
      </c>
      <c r="V915" s="152">
        <v>45534</v>
      </c>
      <c r="W915" s="2">
        <f>VLOOKUP(Table1[[#This Row],[Status]],Auxiliar!$B$16:$D$24,3,0)*Table1[[#This Row],[Estimação (horas)]]</f>
        <v>0.1</v>
      </c>
      <c r="X915" s="2"/>
    </row>
    <row r="916" spans="2:24" ht="17.7" hidden="1" customHeight="1" x14ac:dyDescent="0.25">
      <c r="B916" s="13" t="s">
        <v>26</v>
      </c>
      <c r="C916" s="13" t="s">
        <v>181</v>
      </c>
      <c r="D916" s="13" t="s">
        <v>1312</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x14ac:dyDescent="0.25">
      <c r="B917" s="13" t="s">
        <v>26</v>
      </c>
      <c r="C917" s="13" t="s">
        <v>181</v>
      </c>
      <c r="D917" s="13" t="s">
        <v>1312</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1329</v>
      </c>
      <c r="Q917" s="2"/>
      <c r="R917" s="152">
        <v>45261</v>
      </c>
      <c r="S917" s="152"/>
      <c r="T917" s="152"/>
      <c r="U917" s="152">
        <v>45603</v>
      </c>
      <c r="V917" s="152">
        <v>45534</v>
      </c>
      <c r="W917" s="2">
        <f>VLOOKUP(Table1[[#This Row],[Status]],Auxiliar!$B$16:$D$24,3,0)*Table1[[#This Row],[Estimação (horas)]]</f>
        <v>0.1</v>
      </c>
      <c r="X917" s="2"/>
    </row>
    <row r="918" spans="2:24" ht="17.7" hidden="1" customHeight="1" x14ac:dyDescent="0.25">
      <c r="B918" s="13" t="s">
        <v>26</v>
      </c>
      <c r="C918" s="13" t="s">
        <v>181</v>
      </c>
      <c r="D918" s="13" t="s">
        <v>1312</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x14ac:dyDescent="0.25">
      <c r="B919" s="13" t="s">
        <v>26</v>
      </c>
      <c r="C919" s="13" t="s">
        <v>181</v>
      </c>
      <c r="D919" s="13" t="s">
        <v>1312</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1329</v>
      </c>
      <c r="Q919" s="2"/>
      <c r="R919" s="152">
        <v>45261</v>
      </c>
      <c r="S919" s="152"/>
      <c r="T919" s="152"/>
      <c r="U919" s="152">
        <v>45603</v>
      </c>
      <c r="V919" s="152">
        <v>45534</v>
      </c>
      <c r="W919" s="2">
        <f>VLOOKUP(Table1[[#This Row],[Status]],Auxiliar!$B$16:$D$24,3,0)*Table1[[#This Row],[Estimação (horas)]]</f>
        <v>0.1</v>
      </c>
      <c r="X919" s="2"/>
    </row>
    <row r="920" spans="2:24" ht="17.7" hidden="1" customHeight="1" x14ac:dyDescent="0.25">
      <c r="B920" s="13" t="s">
        <v>26</v>
      </c>
      <c r="C920" s="13" t="s">
        <v>181</v>
      </c>
      <c r="D920" s="13" t="s">
        <v>1312</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x14ac:dyDescent="0.25">
      <c r="B921" s="13" t="s">
        <v>26</v>
      </c>
      <c r="C921" s="13" t="s">
        <v>181</v>
      </c>
      <c r="D921" s="13" t="s">
        <v>1312</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1329</v>
      </c>
      <c r="Q921" s="2"/>
      <c r="R921" s="152">
        <v>45261</v>
      </c>
      <c r="S921" s="152"/>
      <c r="T921" s="152"/>
      <c r="U921" s="152">
        <v>45603</v>
      </c>
      <c r="V921" s="152">
        <v>45534</v>
      </c>
      <c r="W921" s="2">
        <f>VLOOKUP(Table1[[#This Row],[Status]],Auxiliar!$B$16:$D$24,3,0)*Table1[[#This Row],[Estimação (horas)]]</f>
        <v>0.1</v>
      </c>
      <c r="X921" s="2"/>
    </row>
    <row r="922" spans="2:24" ht="17.7" hidden="1" customHeight="1" x14ac:dyDescent="0.25">
      <c r="B922" s="13" t="s">
        <v>26</v>
      </c>
      <c r="C922" s="13" t="s">
        <v>181</v>
      </c>
      <c r="D922" s="13" t="s">
        <v>1312</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x14ac:dyDescent="0.25">
      <c r="B923" s="13" t="s">
        <v>26</v>
      </c>
      <c r="C923" s="13" t="s">
        <v>181</v>
      </c>
      <c r="D923" s="13" t="s">
        <v>1312</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1329</v>
      </c>
      <c r="Q923" s="2"/>
      <c r="R923" s="152">
        <v>45261</v>
      </c>
      <c r="S923" s="152"/>
      <c r="T923" s="152"/>
      <c r="U923" s="152">
        <v>45603</v>
      </c>
      <c r="V923" s="152">
        <v>45534</v>
      </c>
      <c r="W923" s="2">
        <f>VLOOKUP(Table1[[#This Row],[Status]],Auxiliar!$B$16:$D$24,3,0)*Table1[[#This Row],[Estimação (horas)]]</f>
        <v>0.1</v>
      </c>
      <c r="X923" s="2"/>
    </row>
    <row r="924" spans="2:24" ht="17.7" hidden="1" customHeight="1" x14ac:dyDescent="0.25">
      <c r="B924" s="13" t="s">
        <v>26</v>
      </c>
      <c r="C924" s="13" t="s">
        <v>181</v>
      </c>
      <c r="D924" s="13" t="s">
        <v>1312</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x14ac:dyDescent="0.25">
      <c r="B925" s="13" t="s">
        <v>26</v>
      </c>
      <c r="C925" s="13" t="s">
        <v>181</v>
      </c>
      <c r="D925" s="13" t="s">
        <v>1312</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1329</v>
      </c>
      <c r="Q925" s="2"/>
      <c r="R925" s="152">
        <v>45261</v>
      </c>
      <c r="S925" s="152"/>
      <c r="T925" s="152"/>
      <c r="U925" s="152">
        <v>45603</v>
      </c>
      <c r="V925" s="152">
        <v>45534</v>
      </c>
      <c r="W925" s="2">
        <f>VLOOKUP(Table1[[#This Row],[Status]],Auxiliar!$B$16:$D$24,3,0)*Table1[[#This Row],[Estimação (horas)]]</f>
        <v>0.1</v>
      </c>
      <c r="X925" s="2"/>
    </row>
    <row r="926" spans="2:24" ht="17.7" hidden="1" customHeight="1" x14ac:dyDescent="0.25">
      <c r="B926" s="13" t="s">
        <v>26</v>
      </c>
      <c r="C926" s="13" t="s">
        <v>181</v>
      </c>
      <c r="D926" s="13" t="s">
        <v>1312</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x14ac:dyDescent="0.25">
      <c r="B927" s="13" t="s">
        <v>26</v>
      </c>
      <c r="C927" s="13" t="s">
        <v>181</v>
      </c>
      <c r="D927" s="13" t="s">
        <v>1312</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1329</v>
      </c>
      <c r="Q927" s="2"/>
      <c r="R927" s="152">
        <v>45261</v>
      </c>
      <c r="S927" s="152"/>
      <c r="T927" s="152"/>
      <c r="U927" s="152">
        <v>45603</v>
      </c>
      <c r="V927" s="152">
        <v>45534</v>
      </c>
      <c r="W927" s="2">
        <f>VLOOKUP(Table1[[#This Row],[Status]],Auxiliar!$B$16:$D$24,3,0)*Table1[[#This Row],[Estimação (horas)]]</f>
        <v>0.1</v>
      </c>
      <c r="X927" s="2"/>
    </row>
    <row r="928" spans="2:24" ht="17.7" hidden="1" customHeight="1" x14ac:dyDescent="0.25">
      <c r="B928" s="13" t="s">
        <v>26</v>
      </c>
      <c r="C928" s="13" t="s">
        <v>181</v>
      </c>
      <c r="D928" s="13" t="s">
        <v>1312</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x14ac:dyDescent="0.25">
      <c r="B929" s="13" t="s">
        <v>26</v>
      </c>
      <c r="C929" s="13" t="s">
        <v>181</v>
      </c>
      <c r="D929" s="13" t="s">
        <v>1312</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1329</v>
      </c>
      <c r="Q929" s="2"/>
      <c r="R929" s="152">
        <v>45261</v>
      </c>
      <c r="S929" s="152"/>
      <c r="T929" s="152"/>
      <c r="U929" s="152">
        <v>45603</v>
      </c>
      <c r="V929" s="152">
        <v>45534</v>
      </c>
      <c r="W929" s="2">
        <f>VLOOKUP(Table1[[#This Row],[Status]],Auxiliar!$B$16:$D$24,3,0)*Table1[[#This Row],[Estimação (horas)]]</f>
        <v>0.1</v>
      </c>
      <c r="X929" s="2"/>
    </row>
    <row r="930" spans="2:24" ht="17.7" hidden="1" customHeight="1" x14ac:dyDescent="0.25">
      <c r="B930" s="13" t="s">
        <v>26</v>
      </c>
      <c r="C930" s="13" t="s">
        <v>181</v>
      </c>
      <c r="D930" s="13" t="s">
        <v>1312</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x14ac:dyDescent="0.25">
      <c r="B931" s="13" t="s">
        <v>26</v>
      </c>
      <c r="C931" s="13" t="s">
        <v>181</v>
      </c>
      <c r="D931" s="13" t="s">
        <v>1312</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1329</v>
      </c>
      <c r="Q931" s="2"/>
      <c r="R931" s="152">
        <v>45261</v>
      </c>
      <c r="S931" s="152"/>
      <c r="T931" s="152"/>
      <c r="U931" s="152">
        <v>45603</v>
      </c>
      <c r="V931" s="152">
        <v>45534</v>
      </c>
      <c r="W931" s="2">
        <f>VLOOKUP(Table1[[#This Row],[Status]],Auxiliar!$B$16:$D$24,3,0)*Table1[[#This Row],[Estimação (horas)]]</f>
        <v>0.1</v>
      </c>
      <c r="X931" s="2"/>
    </row>
    <row r="932" spans="2:24" ht="17.7" hidden="1" customHeight="1" x14ac:dyDescent="0.25">
      <c r="B932" s="13" t="s">
        <v>26</v>
      </c>
      <c r="C932" s="13" t="s">
        <v>181</v>
      </c>
      <c r="D932" s="13" t="s">
        <v>1312</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x14ac:dyDescent="0.25">
      <c r="B933" s="13" t="s">
        <v>26</v>
      </c>
      <c r="C933" s="13" t="s">
        <v>181</v>
      </c>
      <c r="D933" s="13" t="s">
        <v>1312</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1329</v>
      </c>
      <c r="Q933" s="2"/>
      <c r="R933" s="152">
        <v>45261</v>
      </c>
      <c r="S933" s="152"/>
      <c r="T933" s="152"/>
      <c r="U933" s="152">
        <v>45603</v>
      </c>
      <c r="V933" s="152">
        <v>45534</v>
      </c>
      <c r="W933" s="2">
        <f>VLOOKUP(Table1[[#This Row],[Status]],Auxiliar!$B$16:$D$24,3,0)*Table1[[#This Row],[Estimação (horas)]]</f>
        <v>0.1</v>
      </c>
      <c r="X933" s="2"/>
    </row>
    <row r="934" spans="2:24" ht="17.7" hidden="1" customHeight="1" x14ac:dyDescent="0.25">
      <c r="B934" s="13" t="s">
        <v>26</v>
      </c>
      <c r="C934" s="13" t="s">
        <v>181</v>
      </c>
      <c r="D934" s="13" t="s">
        <v>1312</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x14ac:dyDescent="0.25">
      <c r="B935" s="13" t="s">
        <v>26</v>
      </c>
      <c r="C935" s="13" t="s">
        <v>181</v>
      </c>
      <c r="D935" s="13" t="s">
        <v>1312</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1329</v>
      </c>
      <c r="Q935" s="2"/>
      <c r="R935" s="152">
        <v>45261</v>
      </c>
      <c r="S935" s="152"/>
      <c r="T935" s="152"/>
      <c r="U935" s="152">
        <v>45603</v>
      </c>
      <c r="V935" s="152">
        <v>45534</v>
      </c>
      <c r="W935" s="2">
        <f>VLOOKUP(Table1[[#This Row],[Status]],Auxiliar!$B$16:$D$24,3,0)*Table1[[#This Row],[Estimação (horas)]]</f>
        <v>0.1</v>
      </c>
      <c r="X935" s="2"/>
    </row>
    <row r="936" spans="2:24" ht="17.7" hidden="1" customHeight="1" x14ac:dyDescent="0.25">
      <c r="B936" s="13" t="s">
        <v>26</v>
      </c>
      <c r="C936" s="13" t="s">
        <v>181</v>
      </c>
      <c r="D936" s="13" t="s">
        <v>1312</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x14ac:dyDescent="0.25">
      <c r="B937" s="13" t="s">
        <v>26</v>
      </c>
      <c r="C937" s="13" t="s">
        <v>181</v>
      </c>
      <c r="D937" s="13" t="s">
        <v>1312</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1329</v>
      </c>
      <c r="Q937" s="2"/>
      <c r="R937" s="152">
        <v>45261</v>
      </c>
      <c r="S937" s="152"/>
      <c r="T937" s="152"/>
      <c r="U937" s="152">
        <v>45603</v>
      </c>
      <c r="V937" s="152">
        <v>45534</v>
      </c>
      <c r="W937" s="2">
        <f>VLOOKUP(Table1[[#This Row],[Status]],Auxiliar!$B$16:$D$24,3,0)*Table1[[#This Row],[Estimação (horas)]]</f>
        <v>0.1</v>
      </c>
      <c r="X937" s="2"/>
    </row>
    <row r="938" spans="2:24" ht="17.7" hidden="1" customHeight="1" x14ac:dyDescent="0.25">
      <c r="B938" s="13" t="s">
        <v>26</v>
      </c>
      <c r="C938" s="13" t="s">
        <v>181</v>
      </c>
      <c r="D938" s="13" t="s">
        <v>1312</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x14ac:dyDescent="0.25">
      <c r="B939" s="13" t="s">
        <v>26</v>
      </c>
      <c r="C939" s="13" t="s">
        <v>181</v>
      </c>
      <c r="D939" s="13" t="s">
        <v>1312</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1329</v>
      </c>
      <c r="Q939" s="2"/>
      <c r="R939" s="152">
        <v>45261</v>
      </c>
      <c r="S939" s="152"/>
      <c r="T939" s="152"/>
      <c r="U939" s="152">
        <v>45603</v>
      </c>
      <c r="V939" s="152">
        <v>45534</v>
      </c>
      <c r="W939" s="2">
        <f>VLOOKUP(Table1[[#This Row],[Status]],Auxiliar!$B$16:$D$24,3,0)*Table1[[#This Row],[Estimação (horas)]]</f>
        <v>0.1</v>
      </c>
      <c r="X939" s="2"/>
    </row>
    <row r="940" spans="2:24" ht="17.7" hidden="1" customHeight="1" x14ac:dyDescent="0.25">
      <c r="B940" s="13" t="s">
        <v>26</v>
      </c>
      <c r="C940" s="13" t="s">
        <v>181</v>
      </c>
      <c r="D940" s="13" t="s">
        <v>1312</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x14ac:dyDescent="0.25">
      <c r="B941" s="13" t="s">
        <v>26</v>
      </c>
      <c r="C941" s="13" t="s">
        <v>181</v>
      </c>
      <c r="D941" s="13" t="s">
        <v>1313</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1324</v>
      </c>
    </row>
    <row r="942" spans="2:24" ht="17.7" hidden="1" customHeight="1" x14ac:dyDescent="0.25">
      <c r="B942" s="13" t="s">
        <v>26</v>
      </c>
      <c r="C942" s="13" t="s">
        <v>181</v>
      </c>
      <c r="D942" s="13" t="s">
        <v>1313</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1330</v>
      </c>
      <c r="Q942" s="2"/>
      <c r="R942" s="152">
        <v>45261</v>
      </c>
      <c r="S942" s="152"/>
      <c r="T942" s="152"/>
      <c r="U942" s="152">
        <v>45603</v>
      </c>
      <c r="V942" s="152"/>
      <c r="W942" s="2">
        <f>VLOOKUP(Table1[[#This Row],[Status]],Auxiliar!$B$16:$D$24,3,0)*Table1[[#This Row],[Estimação (horas)]]</f>
        <v>0.1</v>
      </c>
      <c r="X942" s="2" t="s">
        <v>1324</v>
      </c>
    </row>
    <row r="943" spans="2:24" ht="17.7" hidden="1" customHeight="1" x14ac:dyDescent="0.25">
      <c r="B943" s="13" t="s">
        <v>26</v>
      </c>
      <c r="C943" s="13" t="s">
        <v>181</v>
      </c>
      <c r="D943" s="13" t="s">
        <v>1313</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1324</v>
      </c>
    </row>
    <row r="944" spans="2:24" ht="17.7" hidden="1" customHeight="1" x14ac:dyDescent="0.25">
      <c r="B944" s="13" t="s">
        <v>26</v>
      </c>
      <c r="C944" s="13" t="s">
        <v>181</v>
      </c>
      <c r="D944" s="13" t="s">
        <v>1313</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1324</v>
      </c>
    </row>
    <row r="945" spans="2:24" ht="17.7" hidden="1" customHeight="1" x14ac:dyDescent="0.25">
      <c r="B945" s="13" t="s">
        <v>26</v>
      </c>
      <c r="C945" s="13" t="s">
        <v>181</v>
      </c>
      <c r="D945" s="13" t="s">
        <v>1313</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1330</v>
      </c>
      <c r="Q945" s="2"/>
      <c r="R945" s="152">
        <v>45261</v>
      </c>
      <c r="S945" s="152"/>
      <c r="T945" s="152"/>
      <c r="U945" s="152">
        <v>45603</v>
      </c>
      <c r="V945" s="152"/>
      <c r="W945" s="2">
        <f>VLOOKUP(Table1[[#This Row],[Status]],Auxiliar!$B$16:$D$24,3,0)*Table1[[#This Row],[Estimação (horas)]]</f>
        <v>0.1</v>
      </c>
      <c r="X945" s="2" t="s">
        <v>1324</v>
      </c>
    </row>
    <row r="946" spans="2:24" ht="17.7" hidden="1" customHeight="1" x14ac:dyDescent="0.25">
      <c r="B946" s="13" t="s">
        <v>26</v>
      </c>
      <c r="C946" s="13" t="s">
        <v>181</v>
      </c>
      <c r="D946" s="13" t="s">
        <v>1313</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1324</v>
      </c>
    </row>
    <row r="947" spans="2:24" ht="17.7" hidden="1" customHeight="1" x14ac:dyDescent="0.25">
      <c r="B947" s="13" t="s">
        <v>26</v>
      </c>
      <c r="C947" s="13" t="s">
        <v>181</v>
      </c>
      <c r="D947" s="13" t="s">
        <v>1313</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1331</v>
      </c>
      <c r="Q947" s="2"/>
      <c r="R947" s="152">
        <v>45261</v>
      </c>
      <c r="S947" s="152"/>
      <c r="T947" s="152"/>
      <c r="U947" s="152">
        <v>45603</v>
      </c>
      <c r="V947" s="152"/>
      <c r="W947" s="2">
        <f>VLOOKUP(Table1[[#This Row],[Status]],Auxiliar!$B$16:$D$24,3,0)*Table1[[#This Row],[Estimação (horas)]]</f>
        <v>0.1</v>
      </c>
      <c r="X947" s="2" t="s">
        <v>1324</v>
      </c>
    </row>
    <row r="948" spans="2:24" ht="17.7" hidden="1" customHeight="1" x14ac:dyDescent="0.25">
      <c r="B948" s="13" t="s">
        <v>26</v>
      </c>
      <c r="C948" s="13" t="s">
        <v>181</v>
      </c>
      <c r="D948" s="13" t="s">
        <v>1313</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1324</v>
      </c>
    </row>
    <row r="949" spans="2:24" ht="17.7" hidden="1" customHeight="1" x14ac:dyDescent="0.25">
      <c r="B949" s="13" t="s">
        <v>26</v>
      </c>
      <c r="C949" s="13" t="s">
        <v>181</v>
      </c>
      <c r="D949" s="13" t="s">
        <v>1313</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1331</v>
      </c>
      <c r="Q949" s="2"/>
      <c r="R949" s="152">
        <v>45261</v>
      </c>
      <c r="S949" s="152"/>
      <c r="T949" s="152"/>
      <c r="U949" s="152">
        <v>45603</v>
      </c>
      <c r="V949" s="152"/>
      <c r="W949" s="2">
        <f>VLOOKUP(Table1[[#This Row],[Status]],Auxiliar!$B$16:$D$24,3,0)*Table1[[#This Row],[Estimação (horas)]]</f>
        <v>0.1</v>
      </c>
      <c r="X949" s="2" t="s">
        <v>1324</v>
      </c>
    </row>
    <row r="950" spans="2:24" ht="17.7" hidden="1" customHeight="1" x14ac:dyDescent="0.25">
      <c r="B950" s="13" t="s">
        <v>26</v>
      </c>
      <c r="C950" s="13" t="s">
        <v>181</v>
      </c>
      <c r="D950" s="13" t="s">
        <v>1313</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1324</v>
      </c>
    </row>
    <row r="951" spans="2:24" ht="17.7" hidden="1" customHeight="1" x14ac:dyDescent="0.25">
      <c r="B951" s="13" t="s">
        <v>26</v>
      </c>
      <c r="C951" s="13" t="s">
        <v>181</v>
      </c>
      <c r="D951" s="13" t="s">
        <v>1305</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1308</v>
      </c>
      <c r="R951" s="152">
        <v>45261</v>
      </c>
      <c r="S951" s="152"/>
      <c r="T951" s="152"/>
      <c r="U951" s="152">
        <v>45603</v>
      </c>
      <c r="V951" s="152"/>
      <c r="W951" s="2">
        <f>VLOOKUP(Table1[[#This Row],[Status]],Auxiliar!$B$16:$D$24,3,0)*Table1[[#This Row],[Estimação (horas)]]</f>
        <v>0.5</v>
      </c>
      <c r="X951" s="2"/>
    </row>
    <row r="952" spans="2:24" ht="17.7" hidden="1" customHeight="1" x14ac:dyDescent="0.25">
      <c r="B952" s="13" t="s">
        <v>26</v>
      </c>
      <c r="C952" s="13" t="s">
        <v>181</v>
      </c>
      <c r="D952" s="13" t="s">
        <v>1305</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1325</v>
      </c>
      <c r="Q952" s="2" t="s">
        <v>1308</v>
      </c>
      <c r="R952" s="152">
        <v>45261</v>
      </c>
      <c r="S952" s="152"/>
      <c r="T952" s="152"/>
      <c r="U952" s="152">
        <v>45603</v>
      </c>
      <c r="V952" s="152"/>
      <c r="W952" s="2">
        <f>VLOOKUP(Table1[[#This Row],[Status]],Auxiliar!$B$16:$D$24,3,0)*Table1[[#This Row],[Estimação (horas)]]</f>
        <v>0.1</v>
      </c>
      <c r="X952" s="2"/>
    </row>
    <row r="953" spans="2:24" ht="17.7" hidden="1" customHeight="1" x14ac:dyDescent="0.25">
      <c r="B953" s="13" t="s">
        <v>26</v>
      </c>
      <c r="C953" s="13" t="s">
        <v>181</v>
      </c>
      <c r="D953" s="13" t="s">
        <v>1305</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1308</v>
      </c>
      <c r="R953" s="152">
        <v>45261</v>
      </c>
      <c r="S953" s="152"/>
      <c r="T953" s="152"/>
      <c r="U953" s="152">
        <v>45603</v>
      </c>
      <c r="V953" s="152"/>
      <c r="W953" s="2">
        <f>VLOOKUP(Table1[[#This Row],[Status]],Auxiliar!$B$16:$D$24,3,0)*Table1[[#This Row],[Estimação (horas)]]</f>
        <v>0.5</v>
      </c>
      <c r="X953" s="2"/>
    </row>
    <row r="954" spans="2:24" ht="17.7" hidden="1" customHeight="1" x14ac:dyDescent="0.25">
      <c r="B954" s="13" t="s">
        <v>26</v>
      </c>
      <c r="C954" s="13" t="s">
        <v>181</v>
      </c>
      <c r="D954" s="13" t="s">
        <v>1305</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1308</v>
      </c>
      <c r="R954" s="152">
        <v>45261</v>
      </c>
      <c r="S954" s="152"/>
      <c r="T954" s="152"/>
      <c r="U954" s="152">
        <v>45603</v>
      </c>
      <c r="V954" s="152"/>
      <c r="W954" s="2">
        <f>VLOOKUP(Table1[[#This Row],[Status]],Auxiliar!$B$16:$D$24,3,0)*Table1[[#This Row],[Estimação (horas)]]</f>
        <v>0.5</v>
      </c>
      <c r="X954" s="2"/>
    </row>
    <row r="955" spans="2:24" ht="17.7" hidden="1" customHeight="1" x14ac:dyDescent="0.25">
      <c r="B955" s="13" t="s">
        <v>26</v>
      </c>
      <c r="C955" s="13" t="s">
        <v>181</v>
      </c>
      <c r="D955" s="13" t="s">
        <v>1305</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1325</v>
      </c>
      <c r="Q955" s="2" t="s">
        <v>1308</v>
      </c>
      <c r="R955" s="152">
        <v>45261</v>
      </c>
      <c r="S955" s="152"/>
      <c r="T955" s="152"/>
      <c r="U955" s="152">
        <v>45603</v>
      </c>
      <c r="V955" s="152"/>
      <c r="W955" s="2">
        <f>VLOOKUP(Table1[[#This Row],[Status]],Auxiliar!$B$16:$D$24,3,0)*Table1[[#This Row],[Estimação (horas)]]</f>
        <v>0.1</v>
      </c>
      <c r="X955" s="2"/>
    </row>
    <row r="956" spans="2:24" ht="17.7" hidden="1" customHeight="1" x14ac:dyDescent="0.25">
      <c r="B956" s="13" t="s">
        <v>26</v>
      </c>
      <c r="C956" s="13" t="s">
        <v>181</v>
      </c>
      <c r="D956" s="13" t="s">
        <v>1305</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1308</v>
      </c>
      <c r="R956" s="152">
        <v>45261</v>
      </c>
      <c r="S956" s="152"/>
      <c r="T956" s="152"/>
      <c r="U956" s="152">
        <v>45603</v>
      </c>
      <c r="V956" s="152"/>
      <c r="W956" s="2">
        <f>VLOOKUP(Table1[[#This Row],[Status]],Auxiliar!$B$16:$D$24,3,0)*Table1[[#This Row],[Estimação (horas)]]</f>
        <v>0.5</v>
      </c>
      <c r="X956" s="2"/>
    </row>
    <row r="957" spans="2:24" ht="17.7" hidden="1" customHeight="1" x14ac:dyDescent="0.25">
      <c r="B957" s="13" t="s">
        <v>26</v>
      </c>
      <c r="C957" s="13" t="s">
        <v>181</v>
      </c>
      <c r="D957" s="13" t="s">
        <v>1305</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1325</v>
      </c>
      <c r="Q957" s="2" t="s">
        <v>1308</v>
      </c>
      <c r="R957" s="152">
        <v>45261</v>
      </c>
      <c r="S957" s="152"/>
      <c r="T957" s="152"/>
      <c r="U957" s="152">
        <v>45603</v>
      </c>
      <c r="V957" s="152"/>
      <c r="W957" s="2">
        <f>VLOOKUP(Table1[[#This Row],[Status]],Auxiliar!$B$16:$D$24,3,0)*Table1[[#This Row],[Estimação (horas)]]</f>
        <v>0.1</v>
      </c>
      <c r="X957" s="2"/>
    </row>
    <row r="958" spans="2:24" ht="17.7" hidden="1" customHeight="1" x14ac:dyDescent="0.25">
      <c r="B958" s="13" t="s">
        <v>26</v>
      </c>
      <c r="C958" s="13" t="s">
        <v>181</v>
      </c>
      <c r="D958" s="13" t="s">
        <v>1305</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1308</v>
      </c>
      <c r="R958" s="152">
        <v>45261</v>
      </c>
      <c r="S958" s="152"/>
      <c r="T958" s="152"/>
      <c r="U958" s="152">
        <v>45603</v>
      </c>
      <c r="V958" s="152"/>
      <c r="W958" s="2">
        <f>VLOOKUP(Table1[[#This Row],[Status]],Auxiliar!$B$16:$D$24,3,0)*Table1[[#This Row],[Estimação (horas)]]</f>
        <v>0.5</v>
      </c>
      <c r="X958" s="2"/>
    </row>
    <row r="959" spans="2:24" ht="17.7" hidden="1" customHeight="1" x14ac:dyDescent="0.25">
      <c r="B959" s="13" t="s">
        <v>26</v>
      </c>
      <c r="C959" s="13" t="s">
        <v>181</v>
      </c>
      <c r="D959" s="13" t="s">
        <v>1305</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1332</v>
      </c>
      <c r="Q959" s="2" t="s">
        <v>1308</v>
      </c>
      <c r="R959" s="152">
        <v>45136</v>
      </c>
      <c r="S959" s="152">
        <v>45439</v>
      </c>
      <c r="T959" s="152">
        <v>45491</v>
      </c>
      <c r="U959" s="152">
        <v>45603</v>
      </c>
      <c r="V959" s="152">
        <v>45499</v>
      </c>
      <c r="W959" s="2">
        <f>VLOOKUP(Table1[[#This Row],[Status]],Auxiliar!$B$16:$D$24,3,0)*Table1[[#This Row],[Estimação (horas)]]</f>
        <v>0.1</v>
      </c>
      <c r="X959" s="2"/>
    </row>
    <row r="960" spans="2:24" ht="17.7" hidden="1" customHeight="1" x14ac:dyDescent="0.25">
      <c r="B960" s="13" t="s">
        <v>26</v>
      </c>
      <c r="C960" s="13" t="s">
        <v>181</v>
      </c>
      <c r="D960" s="13" t="s">
        <v>1305</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1308</v>
      </c>
      <c r="R960" s="152">
        <v>45261</v>
      </c>
      <c r="S960" s="152"/>
      <c r="T960" s="152"/>
      <c r="U960" s="152">
        <v>45603</v>
      </c>
      <c r="V960" s="152"/>
      <c r="W960" s="2">
        <f>VLOOKUP(Table1[[#This Row],[Status]],Auxiliar!$B$16:$D$24,3,0)*Table1[[#This Row],[Estimação (horas)]]</f>
        <v>0.5</v>
      </c>
      <c r="X960" s="2"/>
    </row>
    <row r="961" spans="2:24" ht="17.7" hidden="1" customHeight="1" x14ac:dyDescent="0.25">
      <c r="B961" s="13" t="s">
        <v>26</v>
      </c>
      <c r="C961" s="13" t="s">
        <v>181</v>
      </c>
      <c r="D961" s="13" t="s">
        <v>1305</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1332</v>
      </c>
      <c r="Q961" s="2" t="s">
        <v>1308</v>
      </c>
      <c r="R961" s="152">
        <v>45136</v>
      </c>
      <c r="S961" s="152">
        <v>45439</v>
      </c>
      <c r="T961" s="152">
        <v>45491</v>
      </c>
      <c r="U961" s="152">
        <v>45603</v>
      </c>
      <c r="V961" s="152">
        <v>45499</v>
      </c>
      <c r="W961" s="2">
        <f>VLOOKUP(Table1[[#This Row],[Status]],Auxiliar!$B$16:$D$24,3,0)*Table1[[#This Row],[Estimação (horas)]]</f>
        <v>0.1</v>
      </c>
      <c r="X961" s="2"/>
    </row>
    <row r="962" spans="2:24" ht="17.7" hidden="1" customHeight="1" x14ac:dyDescent="0.25">
      <c r="B962" s="13" t="s">
        <v>26</v>
      </c>
      <c r="C962" s="13" t="s">
        <v>181</v>
      </c>
      <c r="D962" s="13" t="s">
        <v>1305</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1308</v>
      </c>
      <c r="R962" s="152">
        <v>45261</v>
      </c>
      <c r="S962" s="152"/>
      <c r="T962" s="152"/>
      <c r="U962" s="152">
        <v>45603</v>
      </c>
      <c r="V962" s="152"/>
      <c r="W962" s="2">
        <f>VLOOKUP(Table1[[#This Row],[Status]],Auxiliar!$B$16:$D$24,3,0)*Table1[[#This Row],[Estimação (horas)]]</f>
        <v>0.5</v>
      </c>
      <c r="X962" s="2"/>
    </row>
    <row r="963" spans="2:24" ht="17.7" hidden="1" customHeight="1" x14ac:dyDescent="0.25">
      <c r="B963" s="13" t="s">
        <v>26</v>
      </c>
      <c r="C963" s="13" t="s">
        <v>181</v>
      </c>
      <c r="D963" s="13" t="s">
        <v>1305</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1332</v>
      </c>
      <c r="Q963" s="2" t="s">
        <v>1308</v>
      </c>
      <c r="R963" s="152">
        <v>45261</v>
      </c>
      <c r="S963" s="152"/>
      <c r="T963" s="152"/>
      <c r="U963" s="152">
        <v>45603</v>
      </c>
      <c r="V963" s="152"/>
      <c r="W963" s="2">
        <f>VLOOKUP(Table1[[#This Row],[Status]],Auxiliar!$B$16:$D$24,3,0)*Table1[[#This Row],[Estimação (horas)]]</f>
        <v>0.1</v>
      </c>
      <c r="X963" s="2"/>
    </row>
    <row r="964" spans="2:24" ht="17.7" hidden="1" customHeight="1" x14ac:dyDescent="0.25">
      <c r="B964" s="13" t="s">
        <v>26</v>
      </c>
      <c r="C964" s="13" t="s">
        <v>181</v>
      </c>
      <c r="D964" s="13" t="s">
        <v>1305</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1308</v>
      </c>
      <c r="R964" s="152">
        <v>45261</v>
      </c>
      <c r="S964" s="152"/>
      <c r="T964" s="152"/>
      <c r="U964" s="152">
        <v>45603</v>
      </c>
      <c r="V964" s="152"/>
      <c r="W964" s="2">
        <f>VLOOKUP(Table1[[#This Row],[Status]],Auxiliar!$B$16:$D$24,3,0)*Table1[[#This Row],[Estimação (horas)]]</f>
        <v>0.5</v>
      </c>
      <c r="X964" s="2"/>
    </row>
    <row r="965" spans="2:24" ht="17.7" hidden="1" customHeight="1" x14ac:dyDescent="0.25">
      <c r="B965" s="13" t="s">
        <v>26</v>
      </c>
      <c r="C965" s="13" t="s">
        <v>181</v>
      </c>
      <c r="D965" s="13" t="s">
        <v>1305</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1308</v>
      </c>
      <c r="R965" s="152">
        <v>45261</v>
      </c>
      <c r="S965" s="152"/>
      <c r="T965" s="152"/>
      <c r="U965" s="152">
        <v>45603</v>
      </c>
      <c r="V965" s="152"/>
      <c r="W965" s="2">
        <f>VLOOKUP(Table1[[#This Row],[Status]],Auxiliar!$B$16:$D$24,3,0)*Table1[[#This Row],[Estimação (horas)]]</f>
        <v>0.5</v>
      </c>
      <c r="X965" s="2"/>
    </row>
    <row r="966" spans="2:24" ht="17.7" hidden="1" customHeight="1" x14ac:dyDescent="0.25">
      <c r="B966" s="13" t="s">
        <v>26</v>
      </c>
      <c r="C966" s="13" t="s">
        <v>181</v>
      </c>
      <c r="D966" s="13" t="s">
        <v>1305</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1308</v>
      </c>
      <c r="R966" s="152">
        <v>45261</v>
      </c>
      <c r="S966" s="152"/>
      <c r="T966" s="152"/>
      <c r="U966" s="152">
        <v>45603</v>
      </c>
      <c r="V966" s="152"/>
      <c r="W966" s="2">
        <f>VLOOKUP(Table1[[#This Row],[Status]],Auxiliar!$B$16:$D$24,3,0)*Table1[[#This Row],[Estimação (horas)]]</f>
        <v>0.5</v>
      </c>
      <c r="X966" s="2"/>
    </row>
    <row r="967" spans="2:24" ht="17.7" hidden="1" customHeight="1" x14ac:dyDescent="0.25">
      <c r="B967" s="13" t="s">
        <v>26</v>
      </c>
      <c r="C967" s="13" t="s">
        <v>181</v>
      </c>
      <c r="D967" s="13" t="s">
        <v>1305</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1308</v>
      </c>
      <c r="R967" s="152">
        <v>45261</v>
      </c>
      <c r="S967" s="152"/>
      <c r="T967" s="152"/>
      <c r="U967" s="152">
        <v>45603</v>
      </c>
      <c r="V967" s="152"/>
      <c r="W967" s="2">
        <f>VLOOKUP(Table1[[#This Row],[Status]],Auxiliar!$B$16:$D$24,3,0)*Table1[[#This Row],[Estimação (horas)]]</f>
        <v>0.5</v>
      </c>
      <c r="X967" s="2"/>
    </row>
    <row r="968" spans="2:24" ht="17.7" hidden="1" customHeight="1" x14ac:dyDescent="0.25">
      <c r="B968" s="13" t="s">
        <v>26</v>
      </c>
      <c r="C968" s="13" t="s">
        <v>181</v>
      </c>
      <c r="D968" s="13" t="s">
        <v>1305</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1308</v>
      </c>
      <c r="R968" s="152">
        <v>45261</v>
      </c>
      <c r="S968" s="152"/>
      <c r="T968" s="152"/>
      <c r="U968" s="152">
        <v>45603</v>
      </c>
      <c r="V968" s="152"/>
      <c r="W968" s="2">
        <f>VLOOKUP(Table1[[#This Row],[Status]],Auxiliar!$B$16:$D$24,3,0)*Table1[[#This Row],[Estimação (horas)]]</f>
        <v>0.5</v>
      </c>
      <c r="X968" s="2"/>
    </row>
    <row r="969" spans="2:24" ht="17.7" hidden="1" customHeight="1" x14ac:dyDescent="0.25">
      <c r="B969" s="13" t="s">
        <v>26</v>
      </c>
      <c r="C969" s="13" t="s">
        <v>181</v>
      </c>
      <c r="D969" s="13" t="s">
        <v>1305</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1308</v>
      </c>
      <c r="R969" s="152">
        <v>45261</v>
      </c>
      <c r="S969" s="152"/>
      <c r="T969" s="152"/>
      <c r="U969" s="152">
        <v>45603</v>
      </c>
      <c r="V969" s="152"/>
      <c r="W969" s="2">
        <f>VLOOKUP(Table1[[#This Row],[Status]],Auxiliar!$B$16:$D$24,3,0)*Table1[[#This Row],[Estimação (horas)]]</f>
        <v>0.5</v>
      </c>
      <c r="X969" s="2"/>
    </row>
    <row r="970" spans="2:24" ht="17.7" hidden="1" customHeight="1" x14ac:dyDescent="0.25">
      <c r="B970" s="13" t="s">
        <v>26</v>
      </c>
      <c r="C970" s="13" t="s">
        <v>181</v>
      </c>
      <c r="D970" s="13" t="s">
        <v>1305</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1308</v>
      </c>
      <c r="R970" s="152">
        <v>45261</v>
      </c>
      <c r="S970" s="152"/>
      <c r="T970" s="152"/>
      <c r="U970" s="152">
        <v>45603</v>
      </c>
      <c r="V970" s="152"/>
      <c r="W970" s="2">
        <f>VLOOKUP(Table1[[#This Row],[Status]],Auxiliar!$B$16:$D$24,3,0)*Table1[[#This Row],[Estimação (horas)]]</f>
        <v>0.5</v>
      </c>
      <c r="X970" s="2"/>
    </row>
    <row r="971" spans="2:24" ht="17.7" hidden="1" customHeight="1" x14ac:dyDescent="0.25">
      <c r="B971" s="13" t="s">
        <v>26</v>
      </c>
      <c r="C971" s="13" t="s">
        <v>181</v>
      </c>
      <c r="D971" s="13" t="s">
        <v>1305</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1333</v>
      </c>
      <c r="Q971" s="2" t="s">
        <v>1308</v>
      </c>
      <c r="R971" s="152">
        <v>45261</v>
      </c>
      <c r="S971" s="152"/>
      <c r="T971" s="152"/>
      <c r="U971" s="152">
        <v>45603</v>
      </c>
      <c r="V971" s="152"/>
      <c r="W971" s="2">
        <f>VLOOKUP(Table1[[#This Row],[Status]],Auxiliar!$B$16:$D$24,3,0)*Table1[[#This Row],[Estimação (horas)]]</f>
        <v>0.5</v>
      </c>
      <c r="X971" s="2"/>
    </row>
    <row r="972" spans="2:24" ht="17.7" hidden="1" customHeight="1" x14ac:dyDescent="0.25">
      <c r="B972" s="13" t="s">
        <v>26</v>
      </c>
      <c r="C972" s="13" t="s">
        <v>181</v>
      </c>
      <c r="D972" s="13" t="s">
        <v>1305</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1308</v>
      </c>
      <c r="R972" s="152">
        <v>45261</v>
      </c>
      <c r="S972" s="152"/>
      <c r="T972" s="152"/>
      <c r="U972" s="152">
        <v>45603</v>
      </c>
      <c r="V972" s="152"/>
      <c r="W972" s="2">
        <f>VLOOKUP(Table1[[#This Row],[Status]],Auxiliar!$B$16:$D$24,3,0)*Table1[[#This Row],[Estimação (horas)]]</f>
        <v>0.5</v>
      </c>
      <c r="X972" s="2"/>
    </row>
    <row r="973" spans="2:24" ht="17.7" hidden="1" customHeight="1" x14ac:dyDescent="0.25">
      <c r="B973" s="13" t="s">
        <v>26</v>
      </c>
      <c r="C973" s="13" t="s">
        <v>181</v>
      </c>
      <c r="D973" s="13" t="s">
        <v>1305</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1308</v>
      </c>
      <c r="R973" s="152">
        <v>45261</v>
      </c>
      <c r="S973" s="152"/>
      <c r="T973" s="152"/>
      <c r="U973" s="152">
        <v>45603</v>
      </c>
      <c r="V973" s="152"/>
      <c r="W973" s="2">
        <f>VLOOKUP(Table1[[#This Row],[Status]],Auxiliar!$B$16:$D$24,3,0)*Table1[[#This Row],[Estimação (horas)]]</f>
        <v>0.5</v>
      </c>
      <c r="X973" s="2"/>
    </row>
    <row r="974" spans="2:24" ht="17.7" hidden="1" customHeight="1" x14ac:dyDescent="0.25">
      <c r="B974" s="13" t="s">
        <v>26</v>
      </c>
      <c r="C974" s="13" t="s">
        <v>181</v>
      </c>
      <c r="D974" s="13" t="s">
        <v>1305</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x14ac:dyDescent="0.25">
      <c r="B975" s="13" t="s">
        <v>26</v>
      </c>
      <c r="C975" s="13" t="s">
        <v>181</v>
      </c>
      <c r="D975" s="13" t="s">
        <v>1305</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x14ac:dyDescent="0.25">
      <c r="B976" s="13" t="s">
        <v>26</v>
      </c>
      <c r="C976" s="13" t="s">
        <v>181</v>
      </c>
      <c r="D976" s="13" t="s">
        <v>1305</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x14ac:dyDescent="0.25">
      <c r="B977" s="13" t="s">
        <v>26</v>
      </c>
      <c r="C977" s="13" t="s">
        <v>181</v>
      </c>
      <c r="D977" s="13" t="s">
        <v>1305</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1334</v>
      </c>
      <c r="Q977" s="2"/>
      <c r="R977" s="152">
        <v>45261</v>
      </c>
      <c r="S977" s="152"/>
      <c r="T977" s="152"/>
      <c r="U977" s="152">
        <v>45603</v>
      </c>
      <c r="V977" s="152"/>
      <c r="W977" s="2">
        <f>VLOOKUP(Table1[[#This Row],[Status]],Auxiliar!$B$16:$D$24,3,0)*Table1[[#This Row],[Estimação (horas)]]</f>
        <v>0.1</v>
      </c>
      <c r="X977" s="2"/>
    </row>
    <row r="978" spans="2:24" ht="87" hidden="1" customHeight="1" x14ac:dyDescent="0.25">
      <c r="B978" s="13" t="s">
        <v>26</v>
      </c>
      <c r="C978" s="13" t="s">
        <v>181</v>
      </c>
      <c r="D978" s="13" t="s">
        <v>1305</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1334</v>
      </c>
      <c r="Q978" s="2"/>
      <c r="R978" s="152">
        <v>45261</v>
      </c>
      <c r="S978" s="152"/>
      <c r="T978" s="152"/>
      <c r="U978" s="152">
        <v>45603</v>
      </c>
      <c r="V978" s="152"/>
      <c r="W978" s="2">
        <f>VLOOKUP(Table1[[#This Row],[Status]],Auxiliar!$B$16:$D$24,3,0)*Table1[[#This Row],[Estimação (horas)]]</f>
        <v>0.5</v>
      </c>
      <c r="X978" s="2"/>
    </row>
    <row r="979" spans="2:24" ht="17.7" hidden="1" customHeight="1" x14ac:dyDescent="0.25">
      <c r="B979" s="13" t="s">
        <v>26</v>
      </c>
      <c r="C979" s="13" t="s">
        <v>181</v>
      </c>
      <c r="D979" s="13" t="s">
        <v>1305</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x14ac:dyDescent="0.25">
      <c r="B980" s="13" t="s">
        <v>26</v>
      </c>
      <c r="C980" s="13" t="s">
        <v>181</v>
      </c>
      <c r="D980" s="13" t="s">
        <v>1305</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1335</v>
      </c>
      <c r="Q980" s="2"/>
      <c r="R980" s="152">
        <v>45261</v>
      </c>
      <c r="S980" s="152"/>
      <c r="T980" s="152"/>
      <c r="U980" s="152">
        <v>45603</v>
      </c>
      <c r="V980" s="152"/>
      <c r="W980" s="2">
        <f>VLOOKUP(Table1[[#This Row],[Status]],Auxiliar!$B$16:$D$24,3,0)*Table1[[#This Row],[Estimação (horas)]]</f>
        <v>0.5</v>
      </c>
      <c r="X980" s="2"/>
    </row>
    <row r="981" spans="2:24" ht="17.7" hidden="1" customHeight="1" x14ac:dyDescent="0.25">
      <c r="B981" s="13" t="s">
        <v>26</v>
      </c>
      <c r="C981" s="13" t="s">
        <v>181</v>
      </c>
      <c r="D981" s="13" t="s">
        <v>1305</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x14ac:dyDescent="0.25">
      <c r="B982" s="13" t="s">
        <v>26</v>
      </c>
      <c r="C982" s="13" t="s">
        <v>181</v>
      </c>
      <c r="D982" s="13" t="s">
        <v>1305</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x14ac:dyDescent="0.25">
      <c r="B983" s="13" t="s">
        <v>26</v>
      </c>
      <c r="C983" s="13" t="s">
        <v>181</v>
      </c>
      <c r="D983" s="13" t="s">
        <v>1305</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1336</v>
      </c>
      <c r="Q983" s="2"/>
      <c r="R983" s="152">
        <v>45261</v>
      </c>
      <c r="S983" s="152"/>
      <c r="T983" s="152"/>
      <c r="U983" s="152">
        <v>45603</v>
      </c>
      <c r="V983" s="152"/>
      <c r="W983" s="2">
        <f>VLOOKUP(Table1[[#This Row],[Status]],Auxiliar!$B$16:$D$24,3,0)*Table1[[#This Row],[Estimação (horas)]]</f>
        <v>0.1</v>
      </c>
      <c r="X983" s="2"/>
    </row>
    <row r="984" spans="2:24" ht="17.7" hidden="1" customHeight="1" x14ac:dyDescent="0.25">
      <c r="B984" s="13" t="s">
        <v>26</v>
      </c>
      <c r="C984" s="13" t="s">
        <v>181</v>
      </c>
      <c r="D984" s="13" t="s">
        <v>1305</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x14ac:dyDescent="0.25">
      <c r="B985" s="13" t="s">
        <v>26</v>
      </c>
      <c r="C985" s="13" t="s">
        <v>181</v>
      </c>
      <c r="D985" s="13" t="s">
        <v>1305</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x14ac:dyDescent="0.25">
      <c r="B986" s="13" t="s">
        <v>26</v>
      </c>
      <c r="C986" s="13" t="s">
        <v>181</v>
      </c>
      <c r="D986" s="13" t="s">
        <v>1305</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1333</v>
      </c>
      <c r="Q986" s="2"/>
      <c r="R986" s="152">
        <v>45261</v>
      </c>
      <c r="S986" s="152"/>
      <c r="T986" s="152"/>
      <c r="U986" s="152">
        <v>45603</v>
      </c>
      <c r="V986" s="152"/>
      <c r="W986" s="2">
        <f>VLOOKUP(Table1[[#This Row],[Status]],Auxiliar!$B$16:$D$24,3,0)*Table1[[#This Row],[Estimação (horas)]]</f>
        <v>0.5</v>
      </c>
      <c r="X986" s="2"/>
    </row>
    <row r="987" spans="2:24" ht="17.7" hidden="1" customHeight="1" x14ac:dyDescent="0.25">
      <c r="B987" s="13" t="s">
        <v>26</v>
      </c>
      <c r="C987" s="13" t="s">
        <v>181</v>
      </c>
      <c r="D987" s="13" t="s">
        <v>1305</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1337</v>
      </c>
      <c r="Q987" s="2"/>
      <c r="R987" s="152">
        <v>45261</v>
      </c>
      <c r="S987" s="152"/>
      <c r="T987" s="152"/>
      <c r="U987" s="152">
        <v>45603</v>
      </c>
      <c r="V987" s="152"/>
      <c r="W987" s="2">
        <f>VLOOKUP(Table1[[#This Row],[Status]],Auxiliar!$B$16:$D$24,3,0)*Table1[[#This Row],[Estimação (horas)]]</f>
        <v>0.1</v>
      </c>
      <c r="X987" s="2"/>
    </row>
    <row r="988" spans="2:24" ht="17.7" hidden="1" customHeight="1" x14ac:dyDescent="0.25">
      <c r="B988" s="13" t="s">
        <v>26</v>
      </c>
      <c r="C988" s="13" t="s">
        <v>181</v>
      </c>
      <c r="D988" s="13" t="s">
        <v>1305</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x14ac:dyDescent="0.25">
      <c r="B989" s="13" t="s">
        <v>26</v>
      </c>
      <c r="C989" s="13" t="s">
        <v>181</v>
      </c>
      <c r="D989" s="13" t="s">
        <v>1305</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1337</v>
      </c>
      <c r="Q989" s="2"/>
      <c r="R989" s="152">
        <v>45261</v>
      </c>
      <c r="S989" s="152"/>
      <c r="T989" s="152"/>
      <c r="U989" s="152">
        <v>45603</v>
      </c>
      <c r="V989" s="152"/>
      <c r="W989" s="2">
        <f>VLOOKUP(Table1[[#This Row],[Status]],Auxiliar!$B$16:$D$24,3,0)*Table1[[#This Row],[Estimação (horas)]]</f>
        <v>0.1</v>
      </c>
      <c r="X989" s="2"/>
    </row>
    <row r="990" spans="2:24" ht="17.7" hidden="1" customHeight="1" x14ac:dyDescent="0.25">
      <c r="B990" s="13" t="s">
        <v>26</v>
      </c>
      <c r="C990" s="13" t="s">
        <v>181</v>
      </c>
      <c r="D990" s="13" t="s">
        <v>1305</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x14ac:dyDescent="0.25">
      <c r="B991" s="13" t="s">
        <v>26</v>
      </c>
      <c r="C991" s="13" t="s">
        <v>181</v>
      </c>
      <c r="D991" s="13" t="s">
        <v>1305</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1337</v>
      </c>
      <c r="Q991" s="2"/>
      <c r="R991" s="152">
        <v>45261</v>
      </c>
      <c r="S991" s="152"/>
      <c r="T991" s="152"/>
      <c r="U991" s="152">
        <v>45603</v>
      </c>
      <c r="V991" s="152"/>
      <c r="W991" s="2">
        <f>VLOOKUP(Table1[[#This Row],[Status]],Auxiliar!$B$16:$D$24,3,0)*Table1[[#This Row],[Estimação (horas)]]</f>
        <v>0.1</v>
      </c>
      <c r="X991" s="2"/>
    </row>
    <row r="992" spans="2:24" ht="17.7" hidden="1" customHeight="1" x14ac:dyDescent="0.25">
      <c r="B992" s="13" t="s">
        <v>26</v>
      </c>
      <c r="C992" s="13" t="s">
        <v>181</v>
      </c>
      <c r="D992" s="13" t="s">
        <v>1305</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x14ac:dyDescent="0.25">
      <c r="B993" s="13" t="s">
        <v>26</v>
      </c>
      <c r="C993" s="13" t="s">
        <v>181</v>
      </c>
      <c r="D993" s="13" t="s">
        <v>1305</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x14ac:dyDescent="0.25">
      <c r="B994" s="13" t="s">
        <v>26</v>
      </c>
      <c r="C994" s="13" t="s">
        <v>181</v>
      </c>
      <c r="D994" s="13" t="s">
        <v>1305</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x14ac:dyDescent="0.25">
      <c r="B995" s="13" t="s">
        <v>26</v>
      </c>
      <c r="C995" s="13" t="s">
        <v>181</v>
      </c>
      <c r="D995" s="13" t="s">
        <v>1305</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x14ac:dyDescent="0.25">
      <c r="B996" s="13" t="s">
        <v>26</v>
      </c>
      <c r="C996" s="13" t="s">
        <v>181</v>
      </c>
      <c r="D996" s="13" t="s">
        <v>1305</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x14ac:dyDescent="0.25">
      <c r="B997" s="13" t="s">
        <v>26</v>
      </c>
      <c r="C997" s="13" t="s">
        <v>181</v>
      </c>
      <c r="D997" s="13" t="s">
        <v>1305</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x14ac:dyDescent="0.25">
      <c r="B998" s="13" t="s">
        <v>26</v>
      </c>
      <c r="C998" s="13" t="s">
        <v>181</v>
      </c>
      <c r="D998" s="13" t="s">
        <v>1305</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x14ac:dyDescent="0.25">
      <c r="B999" s="13" t="s">
        <v>26</v>
      </c>
      <c r="C999" s="13" t="s">
        <v>181</v>
      </c>
      <c r="D999" s="13" t="s">
        <v>1305</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x14ac:dyDescent="0.25">
      <c r="B1000" s="13" t="s">
        <v>26</v>
      </c>
      <c r="C1000" s="13" t="s">
        <v>181</v>
      </c>
      <c r="D1000" s="13" t="s">
        <v>1305</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x14ac:dyDescent="0.25">
      <c r="B1001" s="13" t="s">
        <v>26</v>
      </c>
      <c r="C1001" s="13" t="s">
        <v>181</v>
      </c>
      <c r="D1001" s="13" t="s">
        <v>1305</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x14ac:dyDescent="0.25">
      <c r="B1002" s="13" t="s">
        <v>26</v>
      </c>
      <c r="C1002" s="13" t="s">
        <v>181</v>
      </c>
      <c r="D1002" s="13" t="s">
        <v>1305</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x14ac:dyDescent="0.25">
      <c r="B1003" s="13" t="s">
        <v>26</v>
      </c>
      <c r="C1003" s="13" t="s">
        <v>181</v>
      </c>
      <c r="D1003" s="13" t="s">
        <v>1305</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x14ac:dyDescent="0.25">
      <c r="B1004" s="13" t="s">
        <v>26</v>
      </c>
      <c r="C1004" s="13" t="s">
        <v>181</v>
      </c>
      <c r="D1004" s="13" t="s">
        <v>1305</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1338</v>
      </c>
      <c r="Q1004" s="2"/>
      <c r="R1004" s="152">
        <v>45261</v>
      </c>
      <c r="S1004" s="152"/>
      <c r="T1004" s="152"/>
      <c r="U1004" s="152">
        <v>45603</v>
      </c>
      <c r="V1004" s="152">
        <v>45534</v>
      </c>
      <c r="W1004" s="2">
        <f>VLOOKUP(Table1[[#This Row],[Status]],Auxiliar!$B$16:$D$24,3,0)*Table1[[#This Row],[Estimação (horas)]]</f>
        <v>0.5</v>
      </c>
      <c r="X1004" s="2"/>
    </row>
    <row r="1005" spans="2:24" ht="17.7" hidden="1" customHeight="1" x14ac:dyDescent="0.25">
      <c r="B1005" s="13" t="s">
        <v>26</v>
      </c>
      <c r="C1005" s="13" t="s">
        <v>181</v>
      </c>
      <c r="D1005" s="13" t="s">
        <v>1305</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1338</v>
      </c>
      <c r="Q1005" s="2"/>
      <c r="R1005" s="152">
        <v>45261</v>
      </c>
      <c r="S1005" s="152"/>
      <c r="T1005" s="152"/>
      <c r="U1005" s="152">
        <v>45603</v>
      </c>
      <c r="V1005" s="152">
        <v>45534</v>
      </c>
      <c r="W1005" s="2">
        <f>VLOOKUP(Table1[[#This Row],[Status]],Auxiliar!$B$16:$D$24,3,0)*Table1[[#This Row],[Estimação (horas)]]</f>
        <v>0.5</v>
      </c>
      <c r="X1005" s="2"/>
    </row>
    <row r="1006" spans="2:24" ht="17.7" hidden="1" customHeight="1" x14ac:dyDescent="0.25">
      <c r="B1006" s="13" t="s">
        <v>26</v>
      </c>
      <c r="C1006" s="13" t="s">
        <v>181</v>
      </c>
      <c r="D1006" s="13" t="s">
        <v>1305</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1338</v>
      </c>
      <c r="Q1006" s="2"/>
      <c r="R1006" s="152">
        <v>45261</v>
      </c>
      <c r="S1006" s="152"/>
      <c r="T1006" s="152"/>
      <c r="U1006" s="152">
        <v>45603</v>
      </c>
      <c r="V1006" s="152">
        <v>45534</v>
      </c>
      <c r="W1006" s="2">
        <f>VLOOKUP(Table1[[#This Row],[Status]],Auxiliar!$B$16:$D$24,3,0)*Table1[[#This Row],[Estimação (horas)]]</f>
        <v>0.5</v>
      </c>
      <c r="X1006" s="2"/>
    </row>
    <row r="1007" spans="2:24" ht="17.7" hidden="1" customHeight="1" x14ac:dyDescent="0.25">
      <c r="B1007" s="13" t="s">
        <v>26</v>
      </c>
      <c r="C1007" s="13" t="s">
        <v>181</v>
      </c>
      <c r="D1007" s="13" t="s">
        <v>1305</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x14ac:dyDescent="0.25">
      <c r="B1008" s="13" t="s">
        <v>26</v>
      </c>
      <c r="C1008" s="13" t="s">
        <v>181</v>
      </c>
      <c r="D1008" s="13" t="s">
        <v>1305</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x14ac:dyDescent="0.25">
      <c r="B1009" s="13" t="s">
        <v>26</v>
      </c>
      <c r="C1009" s="13" t="s">
        <v>181</v>
      </c>
      <c r="D1009" s="13" t="s">
        <v>1305</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1339</v>
      </c>
      <c r="Q1009" s="2"/>
      <c r="R1009" s="152">
        <v>45261</v>
      </c>
      <c r="S1009" s="152"/>
      <c r="T1009" s="152"/>
      <c r="U1009" s="152">
        <v>45603</v>
      </c>
      <c r="V1009" s="152">
        <v>45534</v>
      </c>
      <c r="W1009" s="2">
        <f>VLOOKUP(Table1[[#This Row],[Status]],Auxiliar!$B$16:$D$24,3,0)*Table1[[#This Row],[Estimação (horas)]]</f>
        <v>0.1</v>
      </c>
      <c r="X1009" s="2"/>
    </row>
    <row r="1010" spans="2:24" ht="17.7" hidden="1" customHeight="1" x14ac:dyDescent="0.25">
      <c r="B1010" s="13" t="s">
        <v>26</v>
      </c>
      <c r="C1010" s="13" t="s">
        <v>181</v>
      </c>
      <c r="D1010" s="13" t="s">
        <v>1305</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x14ac:dyDescent="0.25">
      <c r="B1011" s="13" t="s">
        <v>26</v>
      </c>
      <c r="C1011" s="13" t="s">
        <v>181</v>
      </c>
      <c r="D1011" s="13" t="s">
        <v>1305</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1339</v>
      </c>
      <c r="Q1011" s="2"/>
      <c r="R1011" s="152">
        <v>45261</v>
      </c>
      <c r="S1011" s="152"/>
      <c r="T1011" s="152"/>
      <c r="U1011" s="152">
        <v>45603</v>
      </c>
      <c r="V1011" s="152">
        <v>45534</v>
      </c>
      <c r="W1011" s="2">
        <f>VLOOKUP(Table1[[#This Row],[Status]],Auxiliar!$B$16:$D$24,3,0)*Table1[[#This Row],[Estimação (horas)]]</f>
        <v>0.1</v>
      </c>
      <c r="X1011" s="2"/>
    </row>
    <row r="1012" spans="2:24" ht="17.7" hidden="1" customHeight="1" x14ac:dyDescent="0.25">
      <c r="B1012" s="13" t="s">
        <v>26</v>
      </c>
      <c r="C1012" s="13" t="s">
        <v>181</v>
      </c>
      <c r="D1012" s="13" t="s">
        <v>1305</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x14ac:dyDescent="0.25">
      <c r="B1013" s="20" t="s">
        <v>26</v>
      </c>
      <c r="C1013" s="20" t="s">
        <v>181</v>
      </c>
      <c r="D1013" s="13" t="s">
        <v>1305</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x14ac:dyDescent="0.25">
      <c r="B1014" s="39" t="s">
        <v>26</v>
      </c>
      <c r="C1014" s="39" t="s">
        <v>26</v>
      </c>
      <c r="D1014" s="36" t="s">
        <v>338</v>
      </c>
      <c r="E1014" s="111" t="s">
        <v>1340</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x14ac:dyDescent="0.25">
      <c r="B1015" s="39" t="s">
        <v>26</v>
      </c>
      <c r="C1015" s="39" t="s">
        <v>26</v>
      </c>
      <c r="D1015" s="36" t="s">
        <v>338</v>
      </c>
      <c r="E1015" s="111" t="s">
        <v>1340</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x14ac:dyDescent="0.25">
      <c r="B1016" s="39" t="s">
        <v>26</v>
      </c>
      <c r="C1016" s="39" t="s">
        <v>26</v>
      </c>
      <c r="D1016" s="36" t="s">
        <v>338</v>
      </c>
      <c r="E1016" s="111" t="s">
        <v>1340</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x14ac:dyDescent="0.25">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x14ac:dyDescent="0.25">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x14ac:dyDescent="0.25">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x14ac:dyDescent="0.25">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x14ac:dyDescent="0.25">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x14ac:dyDescent="0.25">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x14ac:dyDescent="0.25">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x14ac:dyDescent="0.25">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x14ac:dyDescent="0.25">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x14ac:dyDescent="0.25">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x14ac:dyDescent="0.25">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x14ac:dyDescent="0.25">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x14ac:dyDescent="0.25">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x14ac:dyDescent="0.25">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x14ac:dyDescent="0.25">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x14ac:dyDescent="0.25">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x14ac:dyDescent="0.25">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x14ac:dyDescent="0.25">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x14ac:dyDescent="0.25">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x14ac:dyDescent="0.25">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x14ac:dyDescent="0.25">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x14ac:dyDescent="0.25">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x14ac:dyDescent="0.25">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x14ac:dyDescent="0.25">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x14ac:dyDescent="0.25">
      <c r="B1041" s="39" t="s">
        <v>26</v>
      </c>
      <c r="C1041" s="39" t="s">
        <v>26</v>
      </c>
      <c r="D1041" s="36" t="s">
        <v>326</v>
      </c>
      <c r="E1041" s="40" t="s">
        <v>251</v>
      </c>
      <c r="F1041" s="40" t="s">
        <v>336</v>
      </c>
      <c r="G1041" s="38" t="s">
        <v>347</v>
      </c>
      <c r="H1041" s="60" t="str">
        <f>Table1[[#This Row],[Tabela]]&amp;Table1[[#This Row],[Campo]]</f>
        <v>lt003_entitypure_capex_cca</v>
      </c>
      <c r="I1041" s="2" t="s">
        <v>619</v>
      </c>
      <c r="J1041" s="45">
        <f>VLOOKUP(Table1[[#This Row],[Status]],Auxiliar!$B$16:$C$24,2,0)</f>
        <v>7</v>
      </c>
      <c r="K1041" s="45" t="s">
        <v>1252</v>
      </c>
      <c r="L1041" s="46" t="s">
        <v>1258</v>
      </c>
      <c r="M1041" s="21" t="s">
        <v>1259</v>
      </c>
      <c r="N1041" s="48">
        <v>45590</v>
      </c>
      <c r="O1041" s="21">
        <f>INDEX(Auxiliar!$D$5:$F$13,MATCH(Table1[[#This Row],[Tipologia_Testes]],Auxiliar!$B$5:$B$13,0),MATCH(Table1[[#This Row],[Complexidade]],Auxiliar!$D$4:$F$4,0))</f>
        <v>2</v>
      </c>
      <c r="P1041" s="47"/>
      <c r="Q1041" s="114"/>
      <c r="R1041" s="152">
        <v>45589</v>
      </c>
      <c r="S1041" s="152"/>
      <c r="T1041" s="152"/>
      <c r="U1041" s="152">
        <v>45611</v>
      </c>
      <c r="V1041" s="152"/>
      <c r="W1041" s="2">
        <f>VLOOKUP(Table1[[#This Row],[Status]],Auxiliar!$B$16:$D$24,3,0)*Table1[[#This Row],[Estimação (horas)]]</f>
        <v>0.5</v>
      </c>
      <c r="X1041" s="114"/>
    </row>
    <row r="1042" spans="2:24" ht="17.7" hidden="1" customHeight="1" x14ac:dyDescent="0.25">
      <c r="B1042" s="39" t="s">
        <v>26</v>
      </c>
      <c r="C1042" s="39" t="s">
        <v>26</v>
      </c>
      <c r="D1042" s="39" t="s">
        <v>326</v>
      </c>
      <c r="E1042" s="39" t="s">
        <v>251</v>
      </c>
      <c r="F1042" s="39" t="s">
        <v>336</v>
      </c>
      <c r="G1042" s="39" t="s">
        <v>347</v>
      </c>
      <c r="H1042" s="59" t="str">
        <f>Table1[[#This Row],[Tabela]]&amp;Table1[[#This Row],[Campo]]</f>
        <v>lt003_entitypure_capex_cca</v>
      </c>
      <c r="I1042" s="2" t="s">
        <v>619</v>
      </c>
      <c r="J1042" s="45">
        <f>VLOOKUP(Table1[[#This Row],[Status]],Auxiliar!$B$16:$C$24,2,0)</f>
        <v>7</v>
      </c>
      <c r="K1042" s="45" t="s">
        <v>1253</v>
      </c>
      <c r="L1042" s="46" t="s">
        <v>1258</v>
      </c>
      <c r="M1042" s="21" t="s">
        <v>1259</v>
      </c>
      <c r="N1042" s="48">
        <v>45590</v>
      </c>
      <c r="O1042" s="21">
        <f>INDEX(Auxiliar!$D$5:$F$13,MATCH(Table1[[#This Row],[Tipologia_Testes]],Auxiliar!$B$5:$B$13,0),MATCH(Table1[[#This Row],[Complexidade]],Auxiliar!$D$4:$F$4,0))</f>
        <v>2</v>
      </c>
      <c r="P1042" s="47"/>
      <c r="Q1042" s="114"/>
      <c r="R1042" s="152">
        <v>45589</v>
      </c>
      <c r="S1042" s="152"/>
      <c r="T1042" s="152"/>
      <c r="U1042" s="152">
        <v>45611</v>
      </c>
      <c r="V1042" s="152"/>
      <c r="W1042" s="2">
        <f>VLOOKUP(Table1[[#This Row],[Status]],Auxiliar!$B$16:$D$24,3,0)*Table1[[#This Row],[Estimação (horas)]]</f>
        <v>0.5</v>
      </c>
      <c r="X1042" s="114"/>
    </row>
    <row r="1043" spans="2:24" ht="17.7" hidden="1" customHeight="1" x14ac:dyDescent="0.25">
      <c r="B1043" s="39" t="s">
        <v>26</v>
      </c>
      <c r="C1043" s="39" t="s">
        <v>26</v>
      </c>
      <c r="D1043" s="39" t="s">
        <v>326</v>
      </c>
      <c r="E1043" s="39" t="s">
        <v>251</v>
      </c>
      <c r="F1043" s="39" t="s">
        <v>336</v>
      </c>
      <c r="G1043" s="39" t="s">
        <v>347</v>
      </c>
      <c r="H1043" s="59" t="str">
        <f>Table1[[#This Row],[Tabela]]&amp;Table1[[#This Row],[Campo]]</f>
        <v>lt003_entitypure_capex_cca</v>
      </c>
      <c r="I1043" s="2" t="s">
        <v>619</v>
      </c>
      <c r="J1043" s="45">
        <f>VLOOKUP(Table1[[#This Row],[Status]],Auxiliar!$B$16:$C$24,2,0)</f>
        <v>7</v>
      </c>
      <c r="K1043" s="45" t="s">
        <v>1255</v>
      </c>
      <c r="L1043" s="46" t="s">
        <v>1258</v>
      </c>
      <c r="M1043" s="21" t="s">
        <v>1259</v>
      </c>
      <c r="N1043" s="48">
        <v>45590</v>
      </c>
      <c r="O1043" s="21">
        <f>INDEX(Auxiliar!$D$5:$F$13,MATCH(Table1[[#This Row],[Tipologia_Testes]],Auxiliar!$B$5:$B$13,0),MATCH(Table1[[#This Row],[Complexidade]],Auxiliar!$D$4:$F$4,0))</f>
        <v>0.1</v>
      </c>
      <c r="P1043" s="47"/>
      <c r="Q1043" s="114"/>
      <c r="R1043" s="152">
        <v>45589</v>
      </c>
      <c r="S1043" s="152"/>
      <c r="T1043" s="152"/>
      <c r="U1043" s="152">
        <v>45611</v>
      </c>
      <c r="V1043" s="152"/>
      <c r="W1043" s="2">
        <f>VLOOKUP(Table1[[#This Row],[Status]],Auxiliar!$B$16:$D$24,3,0)*Table1[[#This Row],[Estimação (horas)]]</f>
        <v>2.5000000000000001E-2</v>
      </c>
      <c r="X1043" s="114"/>
    </row>
    <row r="1044" spans="2:24" ht="34.950000000000003" hidden="1" customHeight="1" x14ac:dyDescent="0.25">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x14ac:dyDescent="0.25">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x14ac:dyDescent="0.25">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x14ac:dyDescent="0.25">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x14ac:dyDescent="0.25">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x14ac:dyDescent="0.25">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x14ac:dyDescent="0.25">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x14ac:dyDescent="0.25">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x14ac:dyDescent="0.25">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x14ac:dyDescent="0.25">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x14ac:dyDescent="0.25">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x14ac:dyDescent="0.25">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x14ac:dyDescent="0.25">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x14ac:dyDescent="0.25">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x14ac:dyDescent="0.25">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x14ac:dyDescent="0.25">
      <c r="B1059" s="41" t="s">
        <v>26</v>
      </c>
      <c r="C1059" s="41" t="s">
        <v>26</v>
      </c>
      <c r="D1059" s="36" t="s">
        <v>326</v>
      </c>
      <c r="E1059" s="111" t="s">
        <v>1340</v>
      </c>
      <c r="F1059" s="40" t="s">
        <v>336</v>
      </c>
      <c r="G1059" s="38" t="s">
        <v>353</v>
      </c>
      <c r="H1059" s="60" t="str">
        <f>Table1[[#This Row],[Tabela]]&amp;Table1[[#This Row],[Campo]]</f>
        <v>lt003_entityflg_nfrd_applcblty</v>
      </c>
      <c r="I1059" s="2" t="s">
        <v>619</v>
      </c>
      <c r="J1059" s="45">
        <f>VLOOKUP(Table1[[#This Row],[Status]],Auxiliar!$B$16:$C$24,2,0)</f>
        <v>7</v>
      </c>
      <c r="K1059" s="45" t="s">
        <v>1252</v>
      </c>
      <c r="L1059" s="46" t="s">
        <v>1258</v>
      </c>
      <c r="M1059" s="21" t="s">
        <v>1259</v>
      </c>
      <c r="N1059" s="48">
        <v>45604</v>
      </c>
      <c r="O1059" s="21">
        <f>INDEX(Auxiliar!$D$5:$F$13,MATCH(Table1[[#This Row],[Tipologia_Testes]],Auxiliar!$B$5:$B$13,0),MATCH(Table1[[#This Row],[Complexidade]],Auxiliar!$D$4:$F$4,0))</f>
        <v>2</v>
      </c>
      <c r="P1059" s="43"/>
      <c r="Q1059" s="114"/>
      <c r="R1059" s="152">
        <v>45589</v>
      </c>
      <c r="S1059" s="152"/>
      <c r="T1059" s="152">
        <v>45589</v>
      </c>
      <c r="U1059" s="152">
        <v>45611</v>
      </c>
      <c r="V1059" s="152"/>
      <c r="W1059" s="2">
        <f>VLOOKUP(Table1[[#This Row],[Status]],Auxiliar!$B$16:$D$24,3,0)*Table1[[#This Row],[Estimação (horas)]]</f>
        <v>0.5</v>
      </c>
      <c r="X1059" s="114"/>
    </row>
    <row r="1060" spans="2:24" ht="17.7" hidden="1" customHeight="1" x14ac:dyDescent="0.25">
      <c r="B1060" s="39" t="s">
        <v>26</v>
      </c>
      <c r="C1060" s="39" t="s">
        <v>26</v>
      </c>
      <c r="D1060" s="39" t="s">
        <v>326</v>
      </c>
      <c r="E1060" s="39" t="s">
        <v>1340</v>
      </c>
      <c r="F1060" s="39" t="s">
        <v>336</v>
      </c>
      <c r="G1060" s="39" t="s">
        <v>353</v>
      </c>
      <c r="H1060" s="59" t="str">
        <f>Table1[[#This Row],[Tabela]]&amp;Table1[[#This Row],[Campo]]</f>
        <v>lt003_entityflg_nfrd_applcblty</v>
      </c>
      <c r="I1060" s="2" t="s">
        <v>619</v>
      </c>
      <c r="J1060" s="45">
        <f>VLOOKUP(Table1[[#This Row],[Status]],Auxiliar!$B$16:$C$24,2,0)</f>
        <v>7</v>
      </c>
      <c r="K1060" s="45" t="s">
        <v>1253</v>
      </c>
      <c r="L1060" s="46" t="s">
        <v>1258</v>
      </c>
      <c r="M1060" s="21" t="s">
        <v>1259</v>
      </c>
      <c r="N1060" s="48">
        <v>45604</v>
      </c>
      <c r="O1060" s="21">
        <f>INDEX(Auxiliar!$D$5:$F$13,MATCH(Table1[[#This Row],[Tipologia_Testes]],Auxiliar!$B$5:$B$13,0),MATCH(Table1[[#This Row],[Complexidade]],Auxiliar!$D$4:$F$4,0))</f>
        <v>2</v>
      </c>
      <c r="P1060" s="43"/>
      <c r="Q1060" s="114"/>
      <c r="R1060" s="152">
        <v>45589</v>
      </c>
      <c r="S1060" s="152"/>
      <c r="T1060" s="152">
        <v>45589</v>
      </c>
      <c r="U1060" s="152">
        <v>45611</v>
      </c>
      <c r="V1060" s="152"/>
      <c r="W1060" s="2">
        <f>VLOOKUP(Table1[[#This Row],[Status]],Auxiliar!$B$16:$D$24,3,0)*Table1[[#This Row],[Estimação (horas)]]</f>
        <v>0.5</v>
      </c>
      <c r="X1060" s="114"/>
    </row>
    <row r="1061" spans="2:24" ht="17.7" hidden="1" customHeight="1" x14ac:dyDescent="0.25">
      <c r="B1061" s="39" t="s">
        <v>26</v>
      </c>
      <c r="C1061" s="39" t="s">
        <v>26</v>
      </c>
      <c r="D1061" s="39" t="s">
        <v>326</v>
      </c>
      <c r="E1061" s="39" t="s">
        <v>1340</v>
      </c>
      <c r="F1061" s="39" t="s">
        <v>336</v>
      </c>
      <c r="G1061" s="39" t="s">
        <v>353</v>
      </c>
      <c r="H1061" s="59" t="str">
        <f>Table1[[#This Row],[Tabela]]&amp;Table1[[#This Row],[Campo]]</f>
        <v>lt003_entityflg_nfrd_applcblty</v>
      </c>
      <c r="I1061" s="2" t="s">
        <v>619</v>
      </c>
      <c r="J1061" s="45">
        <f>VLOOKUP(Table1[[#This Row],[Status]],Auxiliar!$B$16:$C$24,2,0)</f>
        <v>7</v>
      </c>
      <c r="K1061" s="45" t="s">
        <v>1255</v>
      </c>
      <c r="L1061" s="46" t="s">
        <v>1258</v>
      </c>
      <c r="M1061" s="21" t="s">
        <v>1259</v>
      </c>
      <c r="N1061" s="48">
        <v>45604</v>
      </c>
      <c r="O1061" s="21">
        <f>INDEX(Auxiliar!$D$5:$F$13,MATCH(Table1[[#This Row],[Tipologia_Testes]],Auxiliar!$B$5:$B$13,0),MATCH(Table1[[#This Row],[Complexidade]],Auxiliar!$D$4:$F$4,0))</f>
        <v>0.1</v>
      </c>
      <c r="P1061" s="43"/>
      <c r="Q1061" s="114"/>
      <c r="R1061" s="152">
        <v>45589</v>
      </c>
      <c r="S1061" s="152"/>
      <c r="T1061" s="152">
        <v>45589</v>
      </c>
      <c r="U1061" s="152">
        <v>45611</v>
      </c>
      <c r="V1061" s="152"/>
      <c r="W1061" s="2">
        <f>VLOOKUP(Table1[[#This Row],[Status]],Auxiliar!$B$16:$D$24,3,0)*Table1[[#This Row],[Estimação (horas)]]</f>
        <v>2.5000000000000001E-2</v>
      </c>
      <c r="X1061" s="114"/>
    </row>
    <row r="1062" spans="2:24" ht="34.950000000000003" hidden="1" customHeight="1" x14ac:dyDescent="0.25">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x14ac:dyDescent="0.25">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x14ac:dyDescent="0.25">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x14ac:dyDescent="0.25">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x14ac:dyDescent="0.25">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x14ac:dyDescent="0.25">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x14ac:dyDescent="0.25">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x14ac:dyDescent="0.25">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x14ac:dyDescent="0.25">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x14ac:dyDescent="0.25">
      <c r="B1071" s="41" t="s">
        <v>26</v>
      </c>
      <c r="C1071" s="41" t="s">
        <v>26</v>
      </c>
      <c r="D1071" s="36" t="s">
        <v>326</v>
      </c>
      <c r="E1071" s="111" t="s">
        <v>1340</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x14ac:dyDescent="0.25">
      <c r="B1072" s="39" t="s">
        <v>26</v>
      </c>
      <c r="C1072" s="39" t="s">
        <v>26</v>
      </c>
      <c r="D1072" s="39" t="s">
        <v>326</v>
      </c>
      <c r="E1072" s="39" t="s">
        <v>1340</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x14ac:dyDescent="0.25">
      <c r="B1073" s="39" t="s">
        <v>26</v>
      </c>
      <c r="C1073" s="39" t="s">
        <v>26</v>
      </c>
      <c r="D1073" s="39" t="s">
        <v>326</v>
      </c>
      <c r="E1073" s="39" t="s">
        <v>1340</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x14ac:dyDescent="0.25">
      <c r="B1074" s="41" t="s">
        <v>26</v>
      </c>
      <c r="C1074" s="41" t="s">
        <v>26</v>
      </c>
      <c r="D1074" s="36" t="s">
        <v>326</v>
      </c>
      <c r="E1074" s="40" t="s">
        <v>1340</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x14ac:dyDescent="0.25">
      <c r="B1075" s="39" t="s">
        <v>26</v>
      </c>
      <c r="C1075" s="39" t="s">
        <v>26</v>
      </c>
      <c r="D1075" s="39" t="s">
        <v>326</v>
      </c>
      <c r="E1075" s="39" t="s">
        <v>1340</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x14ac:dyDescent="0.25">
      <c r="B1076" s="39" t="s">
        <v>26</v>
      </c>
      <c r="C1076" s="39" t="s">
        <v>26</v>
      </c>
      <c r="D1076" s="39" t="s">
        <v>326</v>
      </c>
      <c r="E1076" s="39" t="s">
        <v>1340</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x14ac:dyDescent="0.25">
      <c r="B1077" s="41" t="s">
        <v>26</v>
      </c>
      <c r="C1077" s="41" t="s">
        <v>26</v>
      </c>
      <c r="D1077" s="36" t="s">
        <v>326</v>
      </c>
      <c r="E1077" s="40" t="s">
        <v>1340</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x14ac:dyDescent="0.25">
      <c r="B1078" s="39" t="s">
        <v>26</v>
      </c>
      <c r="C1078" s="39" t="s">
        <v>26</v>
      </c>
      <c r="D1078" s="39" t="s">
        <v>326</v>
      </c>
      <c r="E1078" s="39" t="s">
        <v>1340</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x14ac:dyDescent="0.25">
      <c r="B1079" s="39" t="s">
        <v>26</v>
      </c>
      <c r="C1079" s="39" t="s">
        <v>26</v>
      </c>
      <c r="D1079" s="39" t="s">
        <v>326</v>
      </c>
      <c r="E1079" s="39" t="s">
        <v>1340</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x14ac:dyDescent="0.25">
      <c r="B1080" s="41" t="s">
        <v>26</v>
      </c>
      <c r="C1080" s="41" t="s">
        <v>26</v>
      </c>
      <c r="D1080" s="42" t="s">
        <v>1342</v>
      </c>
      <c r="E1080" s="111" t="s">
        <v>1343</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1344</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x14ac:dyDescent="0.25">
      <c r="B1081" s="39" t="s">
        <v>26</v>
      </c>
      <c r="C1081" s="39" t="s">
        <v>26</v>
      </c>
      <c r="D1081" s="39" t="s">
        <v>1342</v>
      </c>
      <c r="E1081" s="39" t="s">
        <v>1343</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1344</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x14ac:dyDescent="0.25">
      <c r="B1082" s="39" t="s">
        <v>26</v>
      </c>
      <c r="C1082" s="39" t="s">
        <v>26</v>
      </c>
      <c r="D1082" s="39" t="s">
        <v>1342</v>
      </c>
      <c r="E1082" s="39" t="s">
        <v>1343</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1344</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x14ac:dyDescent="0.25">
      <c r="B1083" s="41" t="s">
        <v>26</v>
      </c>
      <c r="C1083" s="41" t="s">
        <v>26</v>
      </c>
      <c r="D1083" s="42" t="s">
        <v>393</v>
      </c>
      <c r="E1083" s="111" t="s">
        <v>38</v>
      </c>
      <c r="F1083" s="40" t="s">
        <v>336</v>
      </c>
      <c r="G1083" s="38" t="s">
        <v>361</v>
      </c>
      <c r="H1083" s="60" t="str">
        <f>Table1[[#This Row],[Tabela]]&amp;Table1[[#This Row],[Campo]]</f>
        <v>lt003_entityesg_sbsctr</v>
      </c>
      <c r="I1083" s="2" t="s">
        <v>619</v>
      </c>
      <c r="J1083" s="45">
        <f>VLOOKUP(Table1[[#This Row],[Status]],Auxiliar!$B$16:$C$24,2,0)</f>
        <v>7</v>
      </c>
      <c r="K1083" s="45" t="s">
        <v>1252</v>
      </c>
      <c r="L1083" s="46" t="s">
        <v>1258</v>
      </c>
      <c r="M1083" s="21" t="s">
        <v>1259</v>
      </c>
      <c r="N1083" s="48">
        <v>45581</v>
      </c>
      <c r="O1083" s="21">
        <f>INDEX(Auxiliar!$D$5:$F$13,MATCH(Table1[[#This Row],[Tipologia_Testes]],Auxiliar!$B$5:$B$13,0),MATCH(Table1[[#This Row],[Complexidade]],Auxiliar!$D$4:$F$4,0))</f>
        <v>2</v>
      </c>
      <c r="P1083" s="43" t="s">
        <v>1341</v>
      </c>
      <c r="Q1083" s="114"/>
      <c r="R1083" s="152">
        <v>45583</v>
      </c>
      <c r="S1083" s="152"/>
      <c r="T1083" s="152">
        <v>45583</v>
      </c>
      <c r="U1083" s="152">
        <v>45611</v>
      </c>
      <c r="V1083" s="152"/>
      <c r="W1083" s="2">
        <f>VLOOKUP(Table1[[#This Row],[Status]],Auxiliar!$B$16:$D$24,3,0)*Table1[[#This Row],[Estimação (horas)]]</f>
        <v>0.5</v>
      </c>
      <c r="X1083" s="114"/>
    </row>
    <row r="1084" spans="2:24" ht="17.7" hidden="1" customHeight="1" x14ac:dyDescent="0.25">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1253</v>
      </c>
      <c r="L1084" s="46" t="s">
        <v>1258</v>
      </c>
      <c r="M1084" s="21" t="s">
        <v>1259</v>
      </c>
      <c r="N1084" s="48">
        <v>45581</v>
      </c>
      <c r="O1084" s="21">
        <f>INDEX(Auxiliar!$D$5:$F$13,MATCH(Table1[[#This Row],[Tipologia_Testes]],Auxiliar!$B$5:$B$13,0),MATCH(Table1[[#This Row],[Complexidade]],Auxiliar!$D$4:$F$4,0))</f>
        <v>2</v>
      </c>
      <c r="P1084" s="43" t="s">
        <v>1341</v>
      </c>
      <c r="Q1084" s="114"/>
      <c r="R1084" s="152">
        <v>45583</v>
      </c>
      <c r="S1084" s="152"/>
      <c r="T1084" s="152">
        <v>45583</v>
      </c>
      <c r="U1084" s="152">
        <v>45611</v>
      </c>
      <c r="V1084" s="152"/>
      <c r="W1084" s="2">
        <f>VLOOKUP(Table1[[#This Row],[Status]],Auxiliar!$B$16:$D$24,3,0)*Table1[[#This Row],[Estimação (horas)]]</f>
        <v>0.5</v>
      </c>
      <c r="X1084" s="114"/>
    </row>
    <row r="1085" spans="2:24" ht="17.7" hidden="1" customHeight="1" x14ac:dyDescent="0.25">
      <c r="B1085" s="39" t="s">
        <v>26</v>
      </c>
      <c r="C1085" s="39" t="s">
        <v>26</v>
      </c>
      <c r="D1085" s="39" t="s">
        <v>393</v>
      </c>
      <c r="E1085" s="39" t="s">
        <v>38</v>
      </c>
      <c r="F1085" s="39" t="s">
        <v>336</v>
      </c>
      <c r="G1085" s="39" t="s">
        <v>361</v>
      </c>
      <c r="H1085" s="59" t="str">
        <f>Table1[[#This Row],[Tabela]]&amp;Table1[[#This Row],[Campo]]</f>
        <v>lt003_entityesg_sbsctr</v>
      </c>
      <c r="I1085" s="2" t="s">
        <v>619</v>
      </c>
      <c r="J1085" s="45">
        <f>VLOOKUP(Table1[[#This Row],[Status]],Auxiliar!$B$16:$C$24,2,0)</f>
        <v>7</v>
      </c>
      <c r="K1085" s="45" t="s">
        <v>1255</v>
      </c>
      <c r="L1085" s="46" t="s">
        <v>1258</v>
      </c>
      <c r="M1085" s="21" t="s">
        <v>1259</v>
      </c>
      <c r="N1085" s="48">
        <v>45581</v>
      </c>
      <c r="O1085" s="21">
        <f>INDEX(Auxiliar!$D$5:$F$13,MATCH(Table1[[#This Row],[Tipologia_Testes]],Auxiliar!$B$5:$B$13,0),MATCH(Table1[[#This Row],[Complexidade]],Auxiliar!$D$4:$F$4,0))</f>
        <v>0.1</v>
      </c>
      <c r="P1085" s="43" t="s">
        <v>1341</v>
      </c>
      <c r="Q1085" s="114"/>
      <c r="R1085" s="152">
        <v>45583</v>
      </c>
      <c r="S1085" s="152"/>
      <c r="T1085" s="152">
        <v>45583</v>
      </c>
      <c r="U1085" s="152">
        <v>45611</v>
      </c>
      <c r="V1085" s="152"/>
      <c r="W1085" s="2">
        <f>VLOOKUP(Table1[[#This Row],[Status]],Auxiliar!$B$16:$D$24,3,0)*Table1[[#This Row],[Estimação (horas)]]</f>
        <v>2.5000000000000001E-2</v>
      </c>
      <c r="X1085" s="114"/>
    </row>
    <row r="1086" spans="2:24" ht="34.950000000000003" hidden="1" customHeight="1" x14ac:dyDescent="0.25">
      <c r="B1086" s="41" t="s">
        <v>26</v>
      </c>
      <c r="C1086" s="41" t="s">
        <v>26</v>
      </c>
      <c r="D1086" s="37" t="s">
        <v>1345</v>
      </c>
      <c r="E1086" s="111" t="s">
        <v>1346</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1347</v>
      </c>
      <c r="Q1086" s="114"/>
      <c r="R1086" s="152">
        <v>45593</v>
      </c>
      <c r="S1086" s="152"/>
      <c r="T1086" s="152">
        <v>45593</v>
      </c>
      <c r="U1086" s="152">
        <v>45624</v>
      </c>
      <c r="V1086" s="152"/>
      <c r="W1086" s="2">
        <f>VLOOKUP(Table1[[#This Row],[Status]],Auxiliar!$B$16:$D$24,3,0)*Table1[[#This Row],[Estimação (horas)]]</f>
        <v>0.5</v>
      </c>
      <c r="X1086" s="114"/>
    </row>
    <row r="1087" spans="2:24" ht="17.7" hidden="1" customHeight="1" x14ac:dyDescent="0.25">
      <c r="B1087" s="39" t="s">
        <v>26</v>
      </c>
      <c r="C1087" s="39" t="s">
        <v>26</v>
      </c>
      <c r="D1087" s="39" t="s">
        <v>1345</v>
      </c>
      <c r="E1087" s="39" t="s">
        <v>1346</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1347</v>
      </c>
      <c r="Q1087" s="114"/>
      <c r="R1087" s="152">
        <v>45593</v>
      </c>
      <c r="S1087" s="152"/>
      <c r="T1087" s="152">
        <v>45593</v>
      </c>
      <c r="U1087" s="152">
        <v>45624</v>
      </c>
      <c r="V1087" s="152"/>
      <c r="W1087" s="2">
        <f>VLOOKUP(Table1[[#This Row],[Status]],Auxiliar!$B$16:$D$24,3,0)*Table1[[#This Row],[Estimação (horas)]]</f>
        <v>0.5</v>
      </c>
      <c r="X1087" s="114"/>
    </row>
    <row r="1088" spans="2:24" ht="17.7" hidden="1" customHeight="1" x14ac:dyDescent="0.25">
      <c r="B1088" s="39" t="s">
        <v>26</v>
      </c>
      <c r="C1088" s="39" t="s">
        <v>26</v>
      </c>
      <c r="D1088" s="39" t="s">
        <v>1345</v>
      </c>
      <c r="E1088" s="39" t="s">
        <v>1346</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1347</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x14ac:dyDescent="0.25">
      <c r="B1089" s="41" t="s">
        <v>26</v>
      </c>
      <c r="C1089" s="41" t="s">
        <v>26</v>
      </c>
      <c r="D1089" s="36" t="s">
        <v>1348</v>
      </c>
      <c r="E1089" s="111" t="s">
        <v>1349</v>
      </c>
      <c r="F1089" s="40" t="s">
        <v>336</v>
      </c>
      <c r="G1089" s="38" t="s">
        <v>239</v>
      </c>
      <c r="H1089" s="60" t="str">
        <f>Table1[[#This Row],[Tabela]]&amp;Table1[[#This Row],[Campo]]</f>
        <v>lt003_entityisin</v>
      </c>
      <c r="I1089" s="2" t="s">
        <v>619</v>
      </c>
      <c r="J1089" s="45">
        <f>VLOOKUP(Table1[[#This Row],[Status]],Auxiliar!$B$16:$C$24,2,0)</f>
        <v>7</v>
      </c>
      <c r="K1089" s="45" t="s">
        <v>1252</v>
      </c>
      <c r="L1089" s="46" t="s">
        <v>1258</v>
      </c>
      <c r="M1089" s="21" t="s">
        <v>1259</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7" hidden="1" customHeight="1" x14ac:dyDescent="0.25">
      <c r="B1090" s="39" t="s">
        <v>26</v>
      </c>
      <c r="C1090" s="39" t="s">
        <v>26</v>
      </c>
      <c r="D1090" s="39" t="s">
        <v>1348</v>
      </c>
      <c r="E1090" s="39" t="s">
        <v>1349</v>
      </c>
      <c r="F1090" s="39" t="s">
        <v>336</v>
      </c>
      <c r="G1090" s="39" t="s">
        <v>239</v>
      </c>
      <c r="H1090" s="59" t="str">
        <f>Table1[[#This Row],[Tabela]]&amp;Table1[[#This Row],[Campo]]</f>
        <v>lt003_entityisin</v>
      </c>
      <c r="I1090" s="2" t="s">
        <v>619</v>
      </c>
      <c r="J1090" s="45">
        <f>VLOOKUP(Table1[[#This Row],[Status]],Auxiliar!$B$16:$C$24,2,0)</f>
        <v>7</v>
      </c>
      <c r="K1090" s="45" t="s">
        <v>1253</v>
      </c>
      <c r="L1090" s="46" t="s">
        <v>1258</v>
      </c>
      <c r="M1090" s="21" t="s">
        <v>1259</v>
      </c>
      <c r="N1090" s="48">
        <v>45590</v>
      </c>
      <c r="O1090" s="21">
        <f>INDEX(Auxiliar!$D$5:$F$13,MATCH(Table1[[#This Row],[Tipologia_Testes]],Auxiliar!$B$5:$B$13,0),MATCH(Table1[[#This Row],[Complexidade]],Auxiliar!$D$4:$F$4,0))</f>
        <v>2</v>
      </c>
      <c r="P1090" s="43" t="s">
        <v>661</v>
      </c>
      <c r="Q1090" s="114"/>
      <c r="R1090" s="152">
        <v>45589</v>
      </c>
      <c r="S1090" s="152"/>
      <c r="T1090" s="152">
        <v>45589</v>
      </c>
      <c r="U1090" s="152"/>
      <c r="V1090" s="152"/>
      <c r="W1090" s="2">
        <f>VLOOKUP(Table1[[#This Row],[Status]],Auxiliar!$B$16:$D$24,3,0)*Table1[[#This Row],[Estimação (horas)]]</f>
        <v>0.5</v>
      </c>
      <c r="X1090" s="114"/>
    </row>
    <row r="1091" spans="2:24" ht="17.7" hidden="1" customHeight="1" x14ac:dyDescent="0.25">
      <c r="B1091" s="39" t="s">
        <v>26</v>
      </c>
      <c r="C1091" s="39" t="s">
        <v>26</v>
      </c>
      <c r="D1091" s="39" t="s">
        <v>1348</v>
      </c>
      <c r="E1091" s="39" t="s">
        <v>1349</v>
      </c>
      <c r="F1091" s="39" t="s">
        <v>336</v>
      </c>
      <c r="G1091" s="39" t="s">
        <v>239</v>
      </c>
      <c r="H1091" s="59" t="str">
        <f>Table1[[#This Row],[Tabela]]&amp;Table1[[#This Row],[Campo]]</f>
        <v>lt003_entityisin</v>
      </c>
      <c r="I1091" s="2" t="s">
        <v>619</v>
      </c>
      <c r="J1091" s="45">
        <f>VLOOKUP(Table1[[#This Row],[Status]],Auxiliar!$B$16:$C$24,2,0)</f>
        <v>7</v>
      </c>
      <c r="K1091" s="45" t="s">
        <v>1255</v>
      </c>
      <c r="L1091" s="46" t="s">
        <v>1258</v>
      </c>
      <c r="M1091" s="21" t="s">
        <v>1259</v>
      </c>
      <c r="N1091" s="48">
        <v>45590</v>
      </c>
      <c r="O1091" s="21">
        <f>INDEX(Auxiliar!$D$5:$F$13,MATCH(Table1[[#This Row],[Tipologia_Testes]],Auxiliar!$B$5:$B$13,0),MATCH(Table1[[#This Row],[Complexidade]],Auxiliar!$D$4:$F$4,0))</f>
        <v>0.1</v>
      </c>
      <c r="P1091" s="43" t="s">
        <v>661</v>
      </c>
      <c r="Q1091" s="114"/>
      <c r="R1091" s="152">
        <v>45589</v>
      </c>
      <c r="S1091" s="152"/>
      <c r="T1091" s="152">
        <v>45589</v>
      </c>
      <c r="U1091" s="152"/>
      <c r="V1091" s="152"/>
      <c r="W1091" s="2">
        <f>VLOOKUP(Table1[[#This Row],[Status]],Auxiliar!$B$16:$D$24,3,0)*Table1[[#This Row],[Estimação (horas)]]</f>
        <v>2.5000000000000001E-2</v>
      </c>
      <c r="X1091" s="114"/>
    </row>
    <row r="1092" spans="2:24" ht="34.950000000000003" hidden="1" customHeight="1" x14ac:dyDescent="0.25">
      <c r="B1092" s="41" t="s">
        <v>26</v>
      </c>
      <c r="C1092" s="41" t="s">
        <v>26</v>
      </c>
      <c r="D1092" s="36" t="s">
        <v>1350</v>
      </c>
      <c r="E1092" s="111" t="s">
        <v>1351</v>
      </c>
      <c r="F1092" s="40" t="s">
        <v>336</v>
      </c>
      <c r="G1092" s="38" t="s">
        <v>363</v>
      </c>
      <c r="H1092" s="60" t="str">
        <f>Table1[[#This Row],[Tabela]]&amp;Table1[[#This Row],[Campo]]</f>
        <v>lt003_entitygrp_annl_trnvr_le</v>
      </c>
      <c r="I1092" s="2" t="s">
        <v>619</v>
      </c>
      <c r="J1092" s="45">
        <f>VLOOKUP(Table1[[#This Row],[Status]],Auxiliar!$B$16:$C$24,2,0)</f>
        <v>7</v>
      </c>
      <c r="K1092" s="45" t="s">
        <v>1252</v>
      </c>
      <c r="L1092" s="46" t="s">
        <v>1258</v>
      </c>
      <c r="M1092" s="21" t="s">
        <v>1259</v>
      </c>
      <c r="N1092" s="48">
        <v>45590</v>
      </c>
      <c r="O1092" s="21">
        <f>INDEX(Auxiliar!$D$5:$F$13,MATCH(Table1[[#This Row],[Tipologia_Testes]],Auxiliar!$B$5:$B$13,0),MATCH(Table1[[#This Row],[Complexidade]],Auxiliar!$D$4:$F$4,0))</f>
        <v>2</v>
      </c>
      <c r="P1092" s="43" t="s">
        <v>1347</v>
      </c>
      <c r="Q1092" s="114"/>
      <c r="R1092" s="152">
        <v>45593</v>
      </c>
      <c r="S1092" s="152"/>
      <c r="T1092" s="152">
        <v>45593</v>
      </c>
      <c r="U1092" s="152">
        <v>45611</v>
      </c>
      <c r="V1092" s="152"/>
      <c r="W1092" s="2">
        <f>VLOOKUP(Table1[[#This Row],[Status]],Auxiliar!$B$16:$D$24,3,0)*Table1[[#This Row],[Estimação (horas)]]</f>
        <v>0.5</v>
      </c>
      <c r="X1092" s="114"/>
    </row>
    <row r="1093" spans="2:24" ht="17.7" hidden="1" customHeight="1" x14ac:dyDescent="0.25">
      <c r="B1093" s="39" t="s">
        <v>26</v>
      </c>
      <c r="C1093" s="39" t="s">
        <v>26</v>
      </c>
      <c r="D1093" s="39" t="s">
        <v>1350</v>
      </c>
      <c r="E1093" s="39" t="s">
        <v>1351</v>
      </c>
      <c r="F1093" s="39" t="s">
        <v>336</v>
      </c>
      <c r="G1093" s="39" t="s">
        <v>363</v>
      </c>
      <c r="H1093" s="59" t="str">
        <f>Table1[[#This Row],[Tabela]]&amp;Table1[[#This Row],[Campo]]</f>
        <v>lt003_entitygrp_annl_trnvr_le</v>
      </c>
      <c r="I1093" s="2" t="s">
        <v>619</v>
      </c>
      <c r="J1093" s="45">
        <f>VLOOKUP(Table1[[#This Row],[Status]],Auxiliar!$B$16:$C$24,2,0)</f>
        <v>7</v>
      </c>
      <c r="K1093" s="45" t="s">
        <v>1253</v>
      </c>
      <c r="L1093" s="46" t="s">
        <v>1258</v>
      </c>
      <c r="M1093" s="21" t="s">
        <v>1259</v>
      </c>
      <c r="N1093" s="48">
        <v>45590</v>
      </c>
      <c r="O1093" s="21">
        <f>INDEX(Auxiliar!$D$5:$F$13,MATCH(Table1[[#This Row],[Tipologia_Testes]],Auxiliar!$B$5:$B$13,0),MATCH(Table1[[#This Row],[Complexidade]],Auxiliar!$D$4:$F$4,0))</f>
        <v>2</v>
      </c>
      <c r="P1093" s="43" t="s">
        <v>1347</v>
      </c>
      <c r="Q1093" s="114"/>
      <c r="R1093" s="152">
        <v>45593</v>
      </c>
      <c r="S1093" s="152"/>
      <c r="T1093" s="152">
        <v>45593</v>
      </c>
      <c r="U1093" s="152">
        <v>45611</v>
      </c>
      <c r="V1093" s="152"/>
      <c r="W1093" s="2">
        <f>VLOOKUP(Table1[[#This Row],[Status]],Auxiliar!$B$16:$D$24,3,0)*Table1[[#This Row],[Estimação (horas)]]</f>
        <v>0.5</v>
      </c>
      <c r="X1093" s="114"/>
    </row>
    <row r="1094" spans="2:24" ht="17.7" hidden="1" customHeight="1" x14ac:dyDescent="0.25">
      <c r="B1094" s="39" t="s">
        <v>26</v>
      </c>
      <c r="C1094" s="39" t="s">
        <v>26</v>
      </c>
      <c r="D1094" s="39" t="s">
        <v>1350</v>
      </c>
      <c r="E1094" s="39" t="s">
        <v>1351</v>
      </c>
      <c r="F1094" s="39" t="s">
        <v>336</v>
      </c>
      <c r="G1094" s="39" t="s">
        <v>363</v>
      </c>
      <c r="H1094" s="59" t="str">
        <f>Table1[[#This Row],[Tabela]]&amp;Table1[[#This Row],[Campo]]</f>
        <v>lt003_entitygrp_annl_trnvr_le</v>
      </c>
      <c r="I1094" s="2" t="s">
        <v>619</v>
      </c>
      <c r="J1094" s="45">
        <f>VLOOKUP(Table1[[#This Row],[Status]],Auxiliar!$B$16:$C$24,2,0)</f>
        <v>7</v>
      </c>
      <c r="K1094" s="45" t="s">
        <v>1255</v>
      </c>
      <c r="L1094" s="46" t="s">
        <v>1258</v>
      </c>
      <c r="M1094" s="21" t="s">
        <v>1259</v>
      </c>
      <c r="N1094" s="48">
        <v>45590</v>
      </c>
      <c r="O1094" s="21">
        <f>INDEX(Auxiliar!$D$5:$F$13,MATCH(Table1[[#This Row],[Tipologia_Testes]],Auxiliar!$B$5:$B$13,0),MATCH(Table1[[#This Row],[Complexidade]],Auxiliar!$D$4:$F$4,0))</f>
        <v>0.1</v>
      </c>
      <c r="P1094" s="43" t="s">
        <v>1347</v>
      </c>
      <c r="Q1094" s="114"/>
      <c r="R1094" s="152">
        <v>45593</v>
      </c>
      <c r="S1094" s="152"/>
      <c r="T1094" s="152">
        <v>45593</v>
      </c>
      <c r="U1094" s="152">
        <v>45611</v>
      </c>
      <c r="V1094" s="152"/>
      <c r="W1094" s="2">
        <f>VLOOKUP(Table1[[#This Row],[Status]],Auxiliar!$B$16:$D$24,3,0)*Table1[[#This Row],[Estimação (horas)]]</f>
        <v>2.5000000000000001E-2</v>
      </c>
      <c r="X1094" s="114"/>
    </row>
    <row r="1095" spans="2:24" ht="34.950000000000003" hidden="1" customHeight="1" x14ac:dyDescent="0.25">
      <c r="B1095" s="41" t="s">
        <v>26</v>
      </c>
      <c r="C1095" s="41" t="s">
        <v>26</v>
      </c>
      <c r="D1095" s="36" t="s">
        <v>1352</v>
      </c>
      <c r="E1095" s="111" t="s">
        <v>1346</v>
      </c>
      <c r="F1095" s="40" t="s">
        <v>336</v>
      </c>
      <c r="G1095" s="38" t="s">
        <v>364</v>
      </c>
      <c r="H1095" s="60" t="str">
        <f>Table1[[#This Row],[Tabela]]&amp;Table1[[#This Row],[Campo]]</f>
        <v>lt003_entitygrp_ttl_lblty</v>
      </c>
      <c r="I1095" s="2" t="s">
        <v>619</v>
      </c>
      <c r="J1095" s="45">
        <f>VLOOKUP(Table1[[#This Row],[Status]],Auxiliar!$B$16:$C$24,2,0)</f>
        <v>7</v>
      </c>
      <c r="K1095" s="45" t="s">
        <v>1252</v>
      </c>
      <c r="L1095" s="46" t="s">
        <v>1258</v>
      </c>
      <c r="M1095" s="21" t="s">
        <v>1259</v>
      </c>
      <c r="N1095" s="48">
        <v>45590</v>
      </c>
      <c r="O1095" s="21">
        <f>INDEX(Auxiliar!$D$5:$F$13,MATCH(Table1[[#This Row],[Tipologia_Testes]],Auxiliar!$B$5:$B$13,0),MATCH(Table1[[#This Row],[Complexidade]],Auxiliar!$D$4:$F$4,0))</f>
        <v>2</v>
      </c>
      <c r="P1095" s="43" t="s">
        <v>1347</v>
      </c>
      <c r="Q1095" s="114"/>
      <c r="R1095" s="152">
        <v>45593</v>
      </c>
      <c r="S1095" s="152"/>
      <c r="T1095" s="152">
        <v>45593</v>
      </c>
      <c r="U1095" s="152">
        <v>45611</v>
      </c>
      <c r="V1095" s="152"/>
      <c r="W1095" s="2">
        <f>VLOOKUP(Table1[[#This Row],[Status]],Auxiliar!$B$16:$D$24,3,0)*Table1[[#This Row],[Estimação (horas)]]</f>
        <v>0.5</v>
      </c>
      <c r="X1095" s="114"/>
    </row>
    <row r="1096" spans="2:24" ht="17.7" hidden="1" customHeight="1" x14ac:dyDescent="0.25">
      <c r="B1096" s="39" t="s">
        <v>26</v>
      </c>
      <c r="C1096" s="39" t="s">
        <v>26</v>
      </c>
      <c r="D1096" s="39" t="s">
        <v>1352</v>
      </c>
      <c r="E1096" s="39" t="s">
        <v>1346</v>
      </c>
      <c r="F1096" s="39" t="s">
        <v>336</v>
      </c>
      <c r="G1096" s="39" t="s">
        <v>364</v>
      </c>
      <c r="H1096" s="59" t="str">
        <f>Table1[[#This Row],[Tabela]]&amp;Table1[[#This Row],[Campo]]</f>
        <v>lt003_entitygrp_ttl_lblty</v>
      </c>
      <c r="I1096" s="2" t="s">
        <v>619</v>
      </c>
      <c r="J1096" s="45">
        <f>VLOOKUP(Table1[[#This Row],[Status]],Auxiliar!$B$16:$C$24,2,0)</f>
        <v>7</v>
      </c>
      <c r="K1096" s="45" t="s">
        <v>1253</v>
      </c>
      <c r="L1096" s="46" t="s">
        <v>1258</v>
      </c>
      <c r="M1096" s="21" t="s">
        <v>1259</v>
      </c>
      <c r="N1096" s="48">
        <v>45590</v>
      </c>
      <c r="O1096" s="21">
        <f>INDEX(Auxiliar!$D$5:$F$13,MATCH(Table1[[#This Row],[Tipologia_Testes]],Auxiliar!$B$5:$B$13,0),MATCH(Table1[[#This Row],[Complexidade]],Auxiliar!$D$4:$F$4,0))</f>
        <v>2</v>
      </c>
      <c r="P1096" s="43" t="s">
        <v>1347</v>
      </c>
      <c r="Q1096" s="114"/>
      <c r="R1096" s="152">
        <v>45593</v>
      </c>
      <c r="S1096" s="152"/>
      <c r="T1096" s="152">
        <v>45593</v>
      </c>
      <c r="U1096" s="152">
        <v>45611</v>
      </c>
      <c r="V1096" s="152"/>
      <c r="W1096" s="2">
        <f>VLOOKUP(Table1[[#This Row],[Status]],Auxiliar!$B$16:$D$24,3,0)*Table1[[#This Row],[Estimação (horas)]]</f>
        <v>0.5</v>
      </c>
      <c r="X1096" s="114"/>
    </row>
    <row r="1097" spans="2:24" ht="17.7" hidden="1" customHeight="1" x14ac:dyDescent="0.25">
      <c r="B1097" s="39" t="s">
        <v>26</v>
      </c>
      <c r="C1097" s="39" t="s">
        <v>26</v>
      </c>
      <c r="D1097" s="39" t="s">
        <v>1352</v>
      </c>
      <c r="E1097" s="39" t="s">
        <v>1346</v>
      </c>
      <c r="F1097" s="39" t="s">
        <v>336</v>
      </c>
      <c r="G1097" s="39" t="s">
        <v>364</v>
      </c>
      <c r="H1097" s="59" t="str">
        <f>Table1[[#This Row],[Tabela]]&amp;Table1[[#This Row],[Campo]]</f>
        <v>lt003_entitygrp_ttl_lblty</v>
      </c>
      <c r="I1097" s="2" t="s">
        <v>619</v>
      </c>
      <c r="J1097" s="45">
        <f>VLOOKUP(Table1[[#This Row],[Status]],Auxiliar!$B$16:$C$24,2,0)</f>
        <v>7</v>
      </c>
      <c r="K1097" s="45" t="s">
        <v>1255</v>
      </c>
      <c r="L1097" s="46" t="s">
        <v>1258</v>
      </c>
      <c r="M1097" s="21" t="s">
        <v>1259</v>
      </c>
      <c r="N1097" s="48">
        <v>45590</v>
      </c>
      <c r="O1097" s="21">
        <f>INDEX(Auxiliar!$D$5:$F$13,MATCH(Table1[[#This Row],[Tipologia_Testes]],Auxiliar!$B$5:$B$13,0),MATCH(Table1[[#This Row],[Complexidade]],Auxiliar!$D$4:$F$4,0))</f>
        <v>0.1</v>
      </c>
      <c r="P1097" s="43" t="s">
        <v>1347</v>
      </c>
      <c r="Q1097" s="114"/>
      <c r="R1097" s="152">
        <v>45593</v>
      </c>
      <c r="S1097" s="152"/>
      <c r="T1097" s="152">
        <v>45593</v>
      </c>
      <c r="U1097" s="152">
        <v>45611</v>
      </c>
      <c r="V1097" s="152"/>
      <c r="W1097" s="2">
        <f>VLOOKUP(Table1[[#This Row],[Status]],Auxiliar!$B$16:$D$24,3,0)*Table1[[#This Row],[Estimação (horas)]]</f>
        <v>2.5000000000000001E-2</v>
      </c>
      <c r="X1097" s="114"/>
    </row>
    <row r="1098" spans="2:24" ht="34.950000000000003" hidden="1" customHeight="1" x14ac:dyDescent="0.25">
      <c r="B1098" s="41" t="s">
        <v>26</v>
      </c>
      <c r="C1098" s="41" t="s">
        <v>26</v>
      </c>
      <c r="D1098" s="36" t="s">
        <v>326</v>
      </c>
      <c r="E1098" s="111" t="s">
        <v>1353</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x14ac:dyDescent="0.25">
      <c r="B1099" s="39" t="s">
        <v>26</v>
      </c>
      <c r="C1099" s="39" t="s">
        <v>26</v>
      </c>
      <c r="D1099" s="39" t="s">
        <v>326</v>
      </c>
      <c r="E1099" s="39" t="s">
        <v>1353</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x14ac:dyDescent="0.25">
      <c r="B1100" s="39" t="s">
        <v>26</v>
      </c>
      <c r="C1100" s="39" t="s">
        <v>26</v>
      </c>
      <c r="D1100" s="39" t="s">
        <v>326</v>
      </c>
      <c r="E1100" s="39" t="s">
        <v>1353</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x14ac:dyDescent="0.25">
      <c r="B1101" s="41" t="s">
        <v>26</v>
      </c>
      <c r="C1101" s="41" t="s">
        <v>26</v>
      </c>
      <c r="D1101" s="36" t="s">
        <v>326</v>
      </c>
      <c r="E1101" s="111" t="s">
        <v>1354</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1355</v>
      </c>
      <c r="Q1101" s="114"/>
      <c r="R1101" s="152">
        <v>45589</v>
      </c>
      <c r="S1101" s="152"/>
      <c r="T1101" s="152">
        <v>45589</v>
      </c>
      <c r="U1101" s="152"/>
      <c r="V1101" s="152">
        <v>45596</v>
      </c>
      <c r="W1101" s="2">
        <f>VLOOKUP(Table1[[#This Row],[Status]],Auxiliar!$B$16:$D$24,3,0)*Table1[[#This Row],[Estimação (horas)]]</f>
        <v>0.5</v>
      </c>
      <c r="X1101" s="114"/>
    </row>
    <row r="1102" spans="2:24" ht="17.7" hidden="1" customHeight="1" x14ac:dyDescent="0.25">
      <c r="B1102" s="39" t="s">
        <v>26</v>
      </c>
      <c r="C1102" s="39" t="s">
        <v>26</v>
      </c>
      <c r="D1102" s="39" t="s">
        <v>326</v>
      </c>
      <c r="E1102" s="39" t="s">
        <v>1354</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1355</v>
      </c>
      <c r="Q1102" s="114"/>
      <c r="R1102" s="152">
        <v>45589</v>
      </c>
      <c r="S1102" s="152"/>
      <c r="T1102" s="152">
        <v>45589</v>
      </c>
      <c r="U1102" s="152"/>
      <c r="V1102" s="152">
        <v>45596</v>
      </c>
      <c r="W1102" s="2">
        <f>VLOOKUP(Table1[[#This Row],[Status]],Auxiliar!$B$16:$D$24,3,0)*Table1[[#This Row],[Estimação (horas)]]</f>
        <v>0.5</v>
      </c>
      <c r="X1102" s="114"/>
    </row>
    <row r="1103" spans="2:24" ht="17.7" hidden="1" customHeight="1" x14ac:dyDescent="0.25">
      <c r="B1103" s="39" t="s">
        <v>26</v>
      </c>
      <c r="C1103" s="39" t="s">
        <v>26</v>
      </c>
      <c r="D1103" s="39" t="s">
        <v>326</v>
      </c>
      <c r="E1103" s="39" t="s">
        <v>1354</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1355</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x14ac:dyDescent="0.25">
      <c r="B1104" s="41" t="s">
        <v>26</v>
      </c>
      <c r="C1104" s="41" t="s">
        <v>26</v>
      </c>
      <c r="D1104" s="36" t="s">
        <v>326</v>
      </c>
      <c r="E1104" s="111" t="s">
        <v>1356</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1355</v>
      </c>
      <c r="Q1104" s="114"/>
      <c r="R1104" s="152">
        <v>45589</v>
      </c>
      <c r="S1104" s="152"/>
      <c r="T1104" s="152">
        <v>45589</v>
      </c>
      <c r="U1104" s="152"/>
      <c r="V1104" s="152">
        <v>45596</v>
      </c>
      <c r="W1104" s="2">
        <f>VLOOKUP(Table1[[#This Row],[Status]],Auxiliar!$B$16:$D$24,3,0)*Table1[[#This Row],[Estimação (horas)]]</f>
        <v>0.5</v>
      </c>
      <c r="X1104" s="114"/>
    </row>
    <row r="1105" spans="2:24" ht="17.7" hidden="1" customHeight="1" x14ac:dyDescent="0.25">
      <c r="B1105" s="39" t="s">
        <v>26</v>
      </c>
      <c r="C1105" s="39" t="s">
        <v>26</v>
      </c>
      <c r="D1105" s="39" t="s">
        <v>326</v>
      </c>
      <c r="E1105" s="39" t="s">
        <v>1356</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1355</v>
      </c>
      <c r="Q1105" s="114"/>
      <c r="R1105" s="152">
        <v>45589</v>
      </c>
      <c r="S1105" s="152"/>
      <c r="T1105" s="152">
        <v>45589</v>
      </c>
      <c r="U1105" s="152"/>
      <c r="V1105" s="152">
        <v>45596</v>
      </c>
      <c r="W1105" s="2">
        <f>VLOOKUP(Table1[[#This Row],[Status]],Auxiliar!$B$16:$D$24,3,0)*Table1[[#This Row],[Estimação (horas)]]</f>
        <v>0.5</v>
      </c>
      <c r="X1105" s="114"/>
    </row>
    <row r="1106" spans="2:24" ht="17.7" hidden="1" customHeight="1" x14ac:dyDescent="0.25">
      <c r="B1106" s="39" t="s">
        <v>26</v>
      </c>
      <c r="C1106" s="39" t="s">
        <v>26</v>
      </c>
      <c r="D1106" s="39" t="s">
        <v>326</v>
      </c>
      <c r="E1106" s="39" t="s">
        <v>1356</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1355</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x14ac:dyDescent="0.25">
      <c r="B1107" s="41" t="s">
        <v>26</v>
      </c>
      <c r="C1107" s="41" t="s">
        <v>26</v>
      </c>
      <c r="D1107" s="36" t="s">
        <v>326</v>
      </c>
      <c r="E1107" s="111" t="s">
        <v>1357</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1355</v>
      </c>
      <c r="Q1107" s="114"/>
      <c r="R1107" s="152">
        <v>45589</v>
      </c>
      <c r="S1107" s="152"/>
      <c r="T1107" s="152">
        <v>45589</v>
      </c>
      <c r="U1107" s="152"/>
      <c r="V1107" s="152">
        <v>45596</v>
      </c>
      <c r="W1107" s="2">
        <f>VLOOKUP(Table1[[#This Row],[Status]],Auxiliar!$B$16:$D$24,3,0)*Table1[[#This Row],[Estimação (horas)]]</f>
        <v>0.5</v>
      </c>
      <c r="X1107" s="114"/>
    </row>
    <row r="1108" spans="2:24" ht="17.7" hidden="1" customHeight="1" x14ac:dyDescent="0.25">
      <c r="B1108" s="39" t="s">
        <v>26</v>
      </c>
      <c r="C1108" s="39" t="s">
        <v>26</v>
      </c>
      <c r="D1108" s="39" t="s">
        <v>326</v>
      </c>
      <c r="E1108" s="39" t="s">
        <v>1357</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1355</v>
      </c>
      <c r="Q1108" s="114"/>
      <c r="R1108" s="152">
        <v>45589</v>
      </c>
      <c r="S1108" s="152"/>
      <c r="T1108" s="152">
        <v>45589</v>
      </c>
      <c r="U1108" s="152"/>
      <c r="V1108" s="152">
        <v>45596</v>
      </c>
      <c r="W1108" s="2">
        <f>VLOOKUP(Table1[[#This Row],[Status]],Auxiliar!$B$16:$D$24,3,0)*Table1[[#This Row],[Estimação (horas)]]</f>
        <v>0.5</v>
      </c>
      <c r="X1108" s="114"/>
    </row>
    <row r="1109" spans="2:24" ht="17.7" hidden="1" customHeight="1" x14ac:dyDescent="0.25">
      <c r="B1109" s="39" t="s">
        <v>26</v>
      </c>
      <c r="C1109" s="39" t="s">
        <v>26</v>
      </c>
      <c r="D1109" s="39" t="s">
        <v>326</v>
      </c>
      <c r="E1109" s="39" t="s">
        <v>1357</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1355</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x14ac:dyDescent="0.25">
      <c r="B1110" s="41" t="s">
        <v>26</v>
      </c>
      <c r="C1110" s="41" t="s">
        <v>26</v>
      </c>
      <c r="D1110" s="37" t="s">
        <v>1358</v>
      </c>
      <c r="E1110" s="42" t="s">
        <v>1340</v>
      </c>
      <c r="F1110" s="40" t="s">
        <v>369</v>
      </c>
      <c r="G1110" s="38" t="s">
        <v>370</v>
      </c>
      <c r="H1110" s="60" t="str">
        <f>Table1[[#This Row],[Tabela]]&amp;Table1[[#This Row],[Campo]]</f>
        <v>lt004_protectiontyp_ep_scr</v>
      </c>
      <c r="I1110" s="2" t="s">
        <v>619</v>
      </c>
      <c r="J1110" s="45">
        <f>VLOOKUP(Table1[[#This Row],[Status]],Auxiliar!$B$16:$C$24,2,0)</f>
        <v>7</v>
      </c>
      <c r="K1110" s="45" t="s">
        <v>1252</v>
      </c>
      <c r="L1110" s="46" t="s">
        <v>1258</v>
      </c>
      <c r="M1110" s="21" t="s">
        <v>1259</v>
      </c>
      <c r="N1110" s="48">
        <v>45581</v>
      </c>
      <c r="O1110" s="21">
        <f>INDEX(Auxiliar!$D$5:$F$13,MATCH(Table1[[#This Row],[Tipologia_Testes]],Auxiliar!$B$5:$B$13,0),MATCH(Table1[[#This Row],[Complexidade]],Auxiliar!$D$4:$F$4,0))</f>
        <v>2</v>
      </c>
      <c r="P1110" s="43" t="s">
        <v>1359</v>
      </c>
      <c r="Q1110" s="152"/>
      <c r="R1110" s="152">
        <v>45583</v>
      </c>
      <c r="S1110" s="152"/>
      <c r="T1110" s="152">
        <v>45583</v>
      </c>
      <c r="U1110" s="152">
        <v>45611</v>
      </c>
      <c r="V1110" s="152"/>
      <c r="W1110" s="2">
        <f>VLOOKUP(Table1[[#This Row],[Status]],Auxiliar!$B$16:$D$24,3,0)*Table1[[#This Row],[Estimação (horas)]]</f>
        <v>0.5</v>
      </c>
      <c r="X1110" s="114"/>
    </row>
    <row r="1111" spans="2:24" ht="17.7" hidden="1" customHeight="1" x14ac:dyDescent="0.25">
      <c r="B1111" s="39" t="s">
        <v>26</v>
      </c>
      <c r="C1111" s="39" t="s">
        <v>26</v>
      </c>
      <c r="D1111" s="39" t="s">
        <v>1358</v>
      </c>
      <c r="E1111" s="39" t="s">
        <v>1340</v>
      </c>
      <c r="F1111" s="39" t="s">
        <v>369</v>
      </c>
      <c r="G1111" s="39" t="s">
        <v>370</v>
      </c>
      <c r="H1111" s="59" t="str">
        <f>Table1[[#This Row],[Tabela]]&amp;Table1[[#This Row],[Campo]]</f>
        <v>lt004_protectiontyp_ep_scr</v>
      </c>
      <c r="I1111" s="2" t="s">
        <v>619</v>
      </c>
      <c r="J1111" s="45">
        <f>VLOOKUP(Table1[[#This Row],[Status]],Auxiliar!$B$16:$C$24,2,0)</f>
        <v>7</v>
      </c>
      <c r="K1111" s="45" t="s">
        <v>1253</v>
      </c>
      <c r="L1111" s="46" t="s">
        <v>1258</v>
      </c>
      <c r="M1111" s="21" t="s">
        <v>1259</v>
      </c>
      <c r="N1111" s="48">
        <v>45581</v>
      </c>
      <c r="O1111" s="21">
        <f>INDEX(Auxiliar!$D$5:$F$13,MATCH(Table1[[#This Row],[Tipologia_Testes]],Auxiliar!$B$5:$B$13,0),MATCH(Table1[[#This Row],[Complexidade]],Auxiliar!$D$4:$F$4,0))</f>
        <v>2</v>
      </c>
      <c r="P1111" s="43" t="s">
        <v>1359</v>
      </c>
      <c r="Q1111" s="152"/>
      <c r="R1111" s="152">
        <v>45583</v>
      </c>
      <c r="S1111" s="152"/>
      <c r="T1111" s="152">
        <v>45583</v>
      </c>
      <c r="U1111" s="152">
        <v>45611</v>
      </c>
      <c r="V1111" s="152"/>
      <c r="W1111" s="2">
        <f>VLOOKUP(Table1[[#This Row],[Status]],Auxiliar!$B$16:$D$24,3,0)*Table1[[#This Row],[Estimação (horas)]]</f>
        <v>0.5</v>
      </c>
      <c r="X1111" s="114"/>
    </row>
    <row r="1112" spans="2:24" ht="17.7" hidden="1" customHeight="1" x14ac:dyDescent="0.25">
      <c r="B1112" s="39" t="s">
        <v>26</v>
      </c>
      <c r="C1112" s="39" t="s">
        <v>26</v>
      </c>
      <c r="D1112" s="39" t="s">
        <v>1358</v>
      </c>
      <c r="E1112" s="39" t="s">
        <v>1340</v>
      </c>
      <c r="F1112" s="39" t="s">
        <v>369</v>
      </c>
      <c r="G1112" s="39" t="s">
        <v>370</v>
      </c>
      <c r="H1112" s="59" t="str">
        <f>Table1[[#This Row],[Tabela]]&amp;Table1[[#This Row],[Campo]]</f>
        <v>lt004_protectiontyp_ep_scr</v>
      </c>
      <c r="I1112" s="2" t="s">
        <v>619</v>
      </c>
      <c r="J1112" s="45">
        <f>VLOOKUP(Table1[[#This Row],[Status]],Auxiliar!$B$16:$C$24,2,0)</f>
        <v>7</v>
      </c>
      <c r="K1112" s="45" t="s">
        <v>1255</v>
      </c>
      <c r="L1112" s="46" t="s">
        <v>1258</v>
      </c>
      <c r="M1112" s="21" t="s">
        <v>1259</v>
      </c>
      <c r="N1112" s="48">
        <v>45581</v>
      </c>
      <c r="O1112" s="21">
        <f>INDEX(Auxiliar!$D$5:$F$13,MATCH(Table1[[#This Row],[Tipologia_Testes]],Auxiliar!$B$5:$B$13,0),MATCH(Table1[[#This Row],[Complexidade]],Auxiliar!$D$4:$F$4,0))</f>
        <v>0.1</v>
      </c>
      <c r="P1112" s="43" t="s">
        <v>1359</v>
      </c>
      <c r="Q1112" s="152"/>
      <c r="R1112" s="152">
        <v>45583</v>
      </c>
      <c r="S1112" s="152"/>
      <c r="T1112" s="152">
        <v>45583</v>
      </c>
      <c r="U1112" s="152">
        <v>45611</v>
      </c>
      <c r="V1112" s="152"/>
      <c r="W1112" s="2">
        <f>VLOOKUP(Table1[[#This Row],[Status]],Auxiliar!$B$16:$D$24,3,0)*Table1[[#This Row],[Estimação (horas)]]</f>
        <v>2.5000000000000001E-2</v>
      </c>
      <c r="X1112" s="114"/>
    </row>
    <row r="1113" spans="2:24" ht="17.7" hidden="1" customHeight="1" x14ac:dyDescent="0.25">
      <c r="B1113" s="41" t="s">
        <v>26</v>
      </c>
      <c r="C1113" s="41" t="s">
        <v>26</v>
      </c>
      <c r="D1113" s="37" t="s">
        <v>1358</v>
      </c>
      <c r="E1113" s="42" t="s">
        <v>1340</v>
      </c>
      <c r="F1113" s="40" t="s">
        <v>369</v>
      </c>
      <c r="G1113" s="38" t="s">
        <v>371</v>
      </c>
      <c r="H1113" s="60" t="str">
        <f>Table1[[#This Row],[Tabela]]&amp;Table1[[#This Row],[Campo]]</f>
        <v>lt004_protectionep_scr</v>
      </c>
      <c r="I1113" s="2" t="s">
        <v>1931</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1359</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x14ac:dyDescent="0.25">
      <c r="B1114" s="39" t="s">
        <v>26</v>
      </c>
      <c r="C1114" s="39" t="s">
        <v>26</v>
      </c>
      <c r="D1114" s="39" t="s">
        <v>1358</v>
      </c>
      <c r="E1114" s="39" t="s">
        <v>1340</v>
      </c>
      <c r="F1114" s="39" t="s">
        <v>369</v>
      </c>
      <c r="G1114" s="39" t="s">
        <v>371</v>
      </c>
      <c r="H1114" s="59" t="str">
        <f>Table1[[#This Row],[Tabela]]&amp;Table1[[#This Row],[Campo]]</f>
        <v>lt004_protectionep_scr</v>
      </c>
      <c r="I1114" s="2" t="s">
        <v>1931</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1359</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x14ac:dyDescent="0.25">
      <c r="B1115" s="39" t="s">
        <v>26</v>
      </c>
      <c r="C1115" s="39" t="s">
        <v>26</v>
      </c>
      <c r="D1115" s="39" t="s">
        <v>1358</v>
      </c>
      <c r="E1115" s="39" t="s">
        <v>1340</v>
      </c>
      <c r="F1115" s="39" t="s">
        <v>369</v>
      </c>
      <c r="G1115" s="39" t="s">
        <v>371</v>
      </c>
      <c r="H1115" s="59" t="str">
        <f>Table1[[#This Row],[Tabela]]&amp;Table1[[#This Row],[Campo]]</f>
        <v>lt004_protectionep_scr</v>
      </c>
      <c r="I1115" s="2" t="s">
        <v>1931</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1359</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x14ac:dyDescent="0.25">
      <c r="B1116" s="41" t="s">
        <v>26</v>
      </c>
      <c r="C1116" s="41" t="s">
        <v>26</v>
      </c>
      <c r="D1116" s="37" t="s">
        <v>1358</v>
      </c>
      <c r="E1116" s="42" t="s">
        <v>1340</v>
      </c>
      <c r="F1116" s="40" t="s">
        <v>369</v>
      </c>
      <c r="G1116" s="38" t="s">
        <v>372</v>
      </c>
      <c r="H1116" s="60" t="str">
        <f>Table1[[#This Row],[Tabela]]&amp;Table1[[#This Row],[Campo]]</f>
        <v>lt004_protectiontyp_epc_lbl</v>
      </c>
      <c r="I1116" s="2" t="s">
        <v>1931</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1359</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x14ac:dyDescent="0.25">
      <c r="B1117" s="39" t="s">
        <v>26</v>
      </c>
      <c r="C1117" s="39" t="s">
        <v>26</v>
      </c>
      <c r="D1117" s="39" t="s">
        <v>1358</v>
      </c>
      <c r="E1117" s="39" t="s">
        <v>1340</v>
      </c>
      <c r="F1117" s="39" t="s">
        <v>369</v>
      </c>
      <c r="G1117" s="39" t="s">
        <v>372</v>
      </c>
      <c r="H1117" s="59" t="str">
        <f>Table1[[#This Row],[Tabela]]&amp;Table1[[#This Row],[Campo]]</f>
        <v>lt004_protectiontyp_epc_lbl</v>
      </c>
      <c r="I1117" s="2" t="s">
        <v>1931</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1359</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x14ac:dyDescent="0.25">
      <c r="B1118" s="39" t="s">
        <v>26</v>
      </c>
      <c r="C1118" s="39" t="s">
        <v>26</v>
      </c>
      <c r="D1118" s="39" t="s">
        <v>1358</v>
      </c>
      <c r="E1118" s="39" t="s">
        <v>1340</v>
      </c>
      <c r="F1118" s="39" t="s">
        <v>369</v>
      </c>
      <c r="G1118" s="39" t="s">
        <v>372</v>
      </c>
      <c r="H1118" s="59" t="str">
        <f>Table1[[#This Row],[Tabela]]&amp;Table1[[#This Row],[Campo]]</f>
        <v>lt004_protectiontyp_epc_lbl</v>
      </c>
      <c r="I1118" s="2" t="s">
        <v>1931</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1359</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x14ac:dyDescent="0.25">
      <c r="B1119" s="41" t="s">
        <v>26</v>
      </c>
      <c r="C1119" s="41" t="s">
        <v>26</v>
      </c>
      <c r="D1119" s="37" t="s">
        <v>1358</v>
      </c>
      <c r="E1119" s="42" t="s">
        <v>1340</v>
      </c>
      <c r="F1119" s="40" t="s">
        <v>369</v>
      </c>
      <c r="G1119" s="38" t="s">
        <v>373</v>
      </c>
      <c r="H1119" s="60" t="str">
        <f>Table1[[#This Row],[Tabela]]&amp;Table1[[#This Row],[Campo]]</f>
        <v>lt004_protectionepc_lbl</v>
      </c>
      <c r="I1119" s="2" t="s">
        <v>1931</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1359</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x14ac:dyDescent="0.25">
      <c r="B1120" s="39" t="s">
        <v>26</v>
      </c>
      <c r="C1120" s="39" t="s">
        <v>26</v>
      </c>
      <c r="D1120" s="39" t="s">
        <v>1358</v>
      </c>
      <c r="E1120" s="39" t="s">
        <v>1340</v>
      </c>
      <c r="F1120" s="39" t="s">
        <v>369</v>
      </c>
      <c r="G1120" s="39" t="s">
        <v>373</v>
      </c>
      <c r="H1120" s="59" t="str">
        <f>Table1[[#This Row],[Tabela]]&amp;Table1[[#This Row],[Campo]]</f>
        <v>lt004_protectionepc_lbl</v>
      </c>
      <c r="I1120" s="2" t="s">
        <v>1931</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1359</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x14ac:dyDescent="0.25">
      <c r="B1121" s="39" t="s">
        <v>26</v>
      </c>
      <c r="C1121" s="39" t="s">
        <v>26</v>
      </c>
      <c r="D1121" s="39" t="s">
        <v>1358</v>
      </c>
      <c r="E1121" s="39" t="s">
        <v>1340</v>
      </c>
      <c r="F1121" s="39" t="s">
        <v>369</v>
      </c>
      <c r="G1121" s="39" t="s">
        <v>373</v>
      </c>
      <c r="H1121" s="59" t="str">
        <f>Table1[[#This Row],[Tabela]]&amp;Table1[[#This Row],[Campo]]</f>
        <v>lt004_protectionepc_lbl</v>
      </c>
      <c r="I1121" s="2" t="s">
        <v>1931</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1359</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x14ac:dyDescent="0.25">
      <c r="B1122" s="41" t="s">
        <v>26</v>
      </c>
      <c r="C1122" s="41" t="s">
        <v>26</v>
      </c>
      <c r="D1122" s="36" t="s">
        <v>1360</v>
      </c>
      <c r="E1122" s="40" t="s">
        <v>1361</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45590</v>
      </c>
      <c r="O1122" s="21">
        <f>INDEX(Auxiliar!$D$5:$F$13,MATCH(Table1[[#This Row],[Tipologia_Testes]],Auxiliar!$B$5:$B$13,0),MATCH(Table1[[#This Row],[Complexidade]],Auxiliar!$D$4:$F$4,0))</f>
        <v>2</v>
      </c>
      <c r="P1122" s="43" t="s">
        <v>1347</v>
      </c>
      <c r="Q1122" s="114"/>
      <c r="R1122" s="152">
        <v>45604</v>
      </c>
      <c r="S1122" s="152"/>
      <c r="T1122" s="152">
        <v>45583</v>
      </c>
      <c r="U1122" s="152">
        <v>45596</v>
      </c>
      <c r="V1122" s="152">
        <v>45596</v>
      </c>
      <c r="W1122" s="2">
        <f>VLOOKUP(Table1[[#This Row],[Status]],Auxiliar!$B$16:$D$24,3,0)*Table1[[#This Row],[Estimação (horas)]]</f>
        <v>0.5</v>
      </c>
      <c r="X1122" s="114"/>
    </row>
    <row r="1123" spans="2:24" ht="17.7" hidden="1" customHeight="1" x14ac:dyDescent="0.25">
      <c r="B1123" s="39" t="s">
        <v>26</v>
      </c>
      <c r="C1123" s="39" t="s">
        <v>26</v>
      </c>
      <c r="D1123" s="39" t="s">
        <v>1360</v>
      </c>
      <c r="E1123" s="39" t="s">
        <v>1361</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45590</v>
      </c>
      <c r="O1123" s="21">
        <f>INDEX(Auxiliar!$D$5:$F$13,MATCH(Table1[[#This Row],[Tipologia_Testes]],Auxiliar!$B$5:$B$13,0),MATCH(Table1[[#This Row],[Complexidade]],Auxiliar!$D$4:$F$4,0))</f>
        <v>2</v>
      </c>
      <c r="P1123" s="43" t="s">
        <v>1347</v>
      </c>
      <c r="Q1123" s="114"/>
      <c r="R1123" s="152">
        <v>45604</v>
      </c>
      <c r="S1123" s="152"/>
      <c r="T1123" s="152">
        <v>45583</v>
      </c>
      <c r="U1123" s="152">
        <v>45596</v>
      </c>
      <c r="V1123" s="152">
        <v>45596</v>
      </c>
      <c r="W1123" s="2">
        <f>VLOOKUP(Table1[[#This Row],[Status]],Auxiliar!$B$16:$D$24,3,0)*Table1[[#This Row],[Estimação (horas)]]</f>
        <v>0.5</v>
      </c>
      <c r="X1123" s="114"/>
    </row>
    <row r="1124" spans="2:24" ht="17.7" hidden="1" customHeight="1" x14ac:dyDescent="0.25">
      <c r="B1124" s="39" t="s">
        <v>26</v>
      </c>
      <c r="C1124" s="39" t="s">
        <v>26</v>
      </c>
      <c r="D1124" s="39" t="s">
        <v>1360</v>
      </c>
      <c r="E1124" s="39" t="s">
        <v>1361</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45590</v>
      </c>
      <c r="O1124" s="21">
        <f>INDEX(Auxiliar!$D$5:$F$13,MATCH(Table1[[#This Row],[Tipologia_Testes]],Auxiliar!$B$5:$B$13,0),MATCH(Table1[[#This Row],[Complexidade]],Auxiliar!$D$4:$F$4,0))</f>
        <v>0.1</v>
      </c>
      <c r="P1124" s="43" t="s">
        <v>1347</v>
      </c>
      <c r="Q1124" s="114"/>
      <c r="R1124" s="152">
        <v>45604</v>
      </c>
      <c r="S1124" s="152"/>
      <c r="T1124" s="152">
        <v>45583</v>
      </c>
      <c r="U1124" s="152">
        <v>45596</v>
      </c>
      <c r="V1124" s="152">
        <v>45596</v>
      </c>
      <c r="W1124" s="2">
        <f>VLOOKUP(Table1[[#This Row],[Status]],Auxiliar!$B$16:$D$24,3,0)*Table1[[#This Row],[Estimação (horas)]]</f>
        <v>2.5000000000000001E-2</v>
      </c>
      <c r="X1124" s="114"/>
    </row>
    <row r="1125" spans="2:24" ht="52.2" hidden="1" customHeight="1" x14ac:dyDescent="0.25">
      <c r="B1125" s="41" t="s">
        <v>26</v>
      </c>
      <c r="C1125" s="41" t="s">
        <v>26</v>
      </c>
      <c r="D1125" s="36" t="s">
        <v>1360</v>
      </c>
      <c r="E1125" s="40" t="s">
        <v>1362</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45590</v>
      </c>
      <c r="O1125" s="21">
        <f>INDEX(Auxiliar!$D$5:$F$13,MATCH(Table1[[#This Row],[Tipologia_Testes]],Auxiliar!$B$5:$B$13,0),MATCH(Table1[[#This Row],[Complexidade]],Auxiliar!$D$4:$F$4,0))</f>
        <v>2</v>
      </c>
      <c r="P1125" s="43" t="s">
        <v>1347</v>
      </c>
      <c r="Q1125" s="152"/>
      <c r="R1125" s="152">
        <v>45604</v>
      </c>
      <c r="S1125" s="152"/>
      <c r="T1125" s="152">
        <v>45583</v>
      </c>
      <c r="U1125" s="152">
        <v>45596</v>
      </c>
      <c r="V1125" s="152">
        <v>45596</v>
      </c>
      <c r="W1125" s="2">
        <f>VLOOKUP(Table1[[#This Row],[Status]],Auxiliar!$B$16:$D$24,3,0)*Table1[[#This Row],[Estimação (horas)]]</f>
        <v>0.5</v>
      </c>
      <c r="X1125" s="114"/>
    </row>
    <row r="1126" spans="2:24" ht="17.7" hidden="1" customHeight="1" x14ac:dyDescent="0.25">
      <c r="B1126" s="39" t="s">
        <v>26</v>
      </c>
      <c r="C1126" s="39" t="s">
        <v>26</v>
      </c>
      <c r="D1126" s="39" t="s">
        <v>1360</v>
      </c>
      <c r="E1126" s="39" t="s">
        <v>1362</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45590</v>
      </c>
      <c r="O1126" s="21">
        <f>INDEX(Auxiliar!$D$5:$F$13,MATCH(Table1[[#This Row],[Tipologia_Testes]],Auxiliar!$B$5:$B$13,0),MATCH(Table1[[#This Row],[Complexidade]],Auxiliar!$D$4:$F$4,0))</f>
        <v>2</v>
      </c>
      <c r="P1126" s="43" t="s">
        <v>1347</v>
      </c>
      <c r="Q1126" s="152"/>
      <c r="R1126" s="152">
        <v>45604</v>
      </c>
      <c r="S1126" s="152"/>
      <c r="T1126" s="152">
        <v>45583</v>
      </c>
      <c r="U1126" s="152">
        <v>45596</v>
      </c>
      <c r="V1126" s="152">
        <v>45596</v>
      </c>
      <c r="W1126" s="2">
        <f>VLOOKUP(Table1[[#This Row],[Status]],Auxiliar!$B$16:$D$24,3,0)*Table1[[#This Row],[Estimação (horas)]]</f>
        <v>0.5</v>
      </c>
      <c r="X1126" s="114"/>
    </row>
    <row r="1127" spans="2:24" ht="17.7" hidden="1" customHeight="1" x14ac:dyDescent="0.25">
      <c r="B1127" s="39" t="s">
        <v>26</v>
      </c>
      <c r="C1127" s="39" t="s">
        <v>26</v>
      </c>
      <c r="D1127" s="39" t="s">
        <v>1360</v>
      </c>
      <c r="E1127" s="39" t="s">
        <v>1362</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45590</v>
      </c>
      <c r="O1127" s="21">
        <f>INDEX(Auxiliar!$D$5:$F$13,MATCH(Table1[[#This Row],[Tipologia_Testes]],Auxiliar!$B$5:$B$13,0),MATCH(Table1[[#This Row],[Complexidade]],Auxiliar!$D$4:$F$4,0))</f>
        <v>0.1</v>
      </c>
      <c r="P1127" s="43" t="s">
        <v>1347</v>
      </c>
      <c r="Q1127" s="152"/>
      <c r="R1127" s="152">
        <v>45604</v>
      </c>
      <c r="S1127" s="152"/>
      <c r="T1127" s="152">
        <v>45583</v>
      </c>
      <c r="U1127" s="152">
        <v>45596</v>
      </c>
      <c r="V1127" s="152">
        <v>45596</v>
      </c>
      <c r="W1127" s="2">
        <f>VLOOKUP(Table1[[#This Row],[Status]],Auxiliar!$B$16:$D$24,3,0)*Table1[[#This Row],[Estimação (horas)]]</f>
        <v>2.5000000000000001E-2</v>
      </c>
      <c r="X1127" s="114"/>
    </row>
    <row r="1128" spans="2:24" ht="52.2" hidden="1" customHeight="1" x14ac:dyDescent="0.25">
      <c r="B1128" s="41" t="s">
        <v>26</v>
      </c>
      <c r="C1128" s="41" t="s">
        <v>26</v>
      </c>
      <c r="D1128" s="36" t="s">
        <v>1360</v>
      </c>
      <c r="E1128" s="40" t="s">
        <v>1363</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45580</v>
      </c>
      <c r="O1128" s="21">
        <f>INDEX(Auxiliar!$D$5:$F$13,MATCH(Table1[[#This Row],[Tipologia_Testes]],Auxiliar!$B$5:$B$13,0),MATCH(Table1[[#This Row],[Complexidade]],Auxiliar!$D$4:$F$4,0))</f>
        <v>2</v>
      </c>
      <c r="P1128" s="43" t="s">
        <v>1347</v>
      </c>
      <c r="Q1128" s="152"/>
      <c r="R1128" s="152">
        <v>45604</v>
      </c>
      <c r="S1128" s="152"/>
      <c r="T1128" s="152">
        <v>45583</v>
      </c>
      <c r="U1128" s="152">
        <v>45596</v>
      </c>
      <c r="V1128" s="152">
        <v>45596</v>
      </c>
      <c r="W1128" s="2">
        <f>VLOOKUP(Table1[[#This Row],[Status]],Auxiliar!$B$16:$D$24,3,0)*Table1[[#This Row],[Estimação (horas)]]</f>
        <v>0.5</v>
      </c>
      <c r="X1128" s="114"/>
    </row>
    <row r="1129" spans="2:24" ht="17.7" hidden="1" customHeight="1" x14ac:dyDescent="0.25">
      <c r="B1129" s="39" t="s">
        <v>26</v>
      </c>
      <c r="C1129" s="39" t="s">
        <v>26</v>
      </c>
      <c r="D1129" s="39" t="s">
        <v>1360</v>
      </c>
      <c r="E1129" s="39" t="s">
        <v>1363</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45580</v>
      </c>
      <c r="O1129" s="21">
        <f>INDEX(Auxiliar!$D$5:$F$13,MATCH(Table1[[#This Row],[Tipologia_Testes]],Auxiliar!$B$5:$B$13,0),MATCH(Table1[[#This Row],[Complexidade]],Auxiliar!$D$4:$F$4,0))</f>
        <v>2</v>
      </c>
      <c r="P1129" s="43" t="s">
        <v>1347</v>
      </c>
      <c r="Q1129" s="152"/>
      <c r="R1129" s="152">
        <v>45604</v>
      </c>
      <c r="S1129" s="152"/>
      <c r="T1129" s="152">
        <v>45583</v>
      </c>
      <c r="U1129" s="152">
        <v>45596</v>
      </c>
      <c r="V1129" s="152">
        <v>45596</v>
      </c>
      <c r="W1129" s="2">
        <f>VLOOKUP(Table1[[#This Row],[Status]],Auxiliar!$B$16:$D$24,3,0)*Table1[[#This Row],[Estimação (horas)]]</f>
        <v>0.5</v>
      </c>
      <c r="X1129" s="114"/>
    </row>
    <row r="1130" spans="2:24" ht="17.7" hidden="1" customHeight="1" x14ac:dyDescent="0.25">
      <c r="B1130" s="39" t="s">
        <v>26</v>
      </c>
      <c r="C1130" s="39" t="s">
        <v>26</v>
      </c>
      <c r="D1130" s="39" t="s">
        <v>1360</v>
      </c>
      <c r="E1130" s="39" t="s">
        <v>1363</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45580</v>
      </c>
      <c r="O1130" s="21">
        <f>INDEX(Auxiliar!$D$5:$F$13,MATCH(Table1[[#This Row],[Tipologia_Testes]],Auxiliar!$B$5:$B$13,0),MATCH(Table1[[#This Row],[Complexidade]],Auxiliar!$D$4:$F$4,0))</f>
        <v>0.1</v>
      </c>
      <c r="P1130" s="43" t="s">
        <v>1347</v>
      </c>
      <c r="Q1130" s="152"/>
      <c r="R1130" s="152">
        <v>45604</v>
      </c>
      <c r="S1130" s="152"/>
      <c r="T1130" s="152">
        <v>45583</v>
      </c>
      <c r="U1130" s="152">
        <v>45596</v>
      </c>
      <c r="V1130" s="152">
        <v>45596</v>
      </c>
      <c r="W1130" s="2">
        <f>VLOOKUP(Table1[[#This Row],[Status]],Auxiliar!$B$16:$D$24,3,0)*Table1[[#This Row],[Estimação (horas)]]</f>
        <v>2.5000000000000001E-2</v>
      </c>
      <c r="X1130" s="114"/>
    </row>
    <row r="1131" spans="2:24" ht="17.7" hidden="1" customHeight="1" x14ac:dyDescent="0.25">
      <c r="B1131" s="41" t="s">
        <v>26</v>
      </c>
      <c r="C1131" s="41" t="s">
        <v>26</v>
      </c>
      <c r="D1131" s="37" t="s">
        <v>1358</v>
      </c>
      <c r="E1131" s="42" t="s">
        <v>1340</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45581</v>
      </c>
      <c r="O1131" s="21">
        <f>INDEX(Auxiliar!$D$5:$F$13,MATCH(Table1[[#This Row],[Tipologia_Testes]],Auxiliar!$B$5:$B$13,0),MATCH(Table1[[#This Row],[Complexidade]],Auxiliar!$D$4:$F$4,0))</f>
        <v>2</v>
      </c>
      <c r="P1131" s="43" t="s">
        <v>1359</v>
      </c>
      <c r="Q1131" s="152"/>
      <c r="R1131" s="152">
        <v>45583</v>
      </c>
      <c r="S1131" s="152"/>
      <c r="T1131" s="152">
        <v>45583</v>
      </c>
      <c r="U1131" s="152">
        <v>45596</v>
      </c>
      <c r="V1131" s="152">
        <v>45596</v>
      </c>
      <c r="W1131" s="2">
        <f>VLOOKUP(Table1[[#This Row],[Status]],Auxiliar!$B$16:$D$24,3,0)*Table1[[#This Row],[Estimação (horas)]]</f>
        <v>0.5</v>
      </c>
      <c r="X1131" s="114"/>
    </row>
    <row r="1132" spans="2:24" ht="17.7" hidden="1" customHeight="1" x14ac:dyDescent="0.25">
      <c r="B1132" s="39" t="s">
        <v>26</v>
      </c>
      <c r="C1132" s="39" t="s">
        <v>26</v>
      </c>
      <c r="D1132" s="39" t="s">
        <v>1358</v>
      </c>
      <c r="E1132" s="39" t="s">
        <v>1340</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45581</v>
      </c>
      <c r="O1132" s="21">
        <f>INDEX(Auxiliar!$D$5:$F$13,MATCH(Table1[[#This Row],[Tipologia_Testes]],Auxiliar!$B$5:$B$13,0),MATCH(Table1[[#This Row],[Complexidade]],Auxiliar!$D$4:$F$4,0))</f>
        <v>2</v>
      </c>
      <c r="P1132" s="43" t="s">
        <v>1359</v>
      </c>
      <c r="Q1132" s="152"/>
      <c r="R1132" s="152">
        <v>45583</v>
      </c>
      <c r="S1132" s="152"/>
      <c r="T1132" s="152">
        <v>45583</v>
      </c>
      <c r="U1132" s="152">
        <v>45596</v>
      </c>
      <c r="V1132" s="152">
        <v>45596</v>
      </c>
      <c r="W1132" s="2">
        <f>VLOOKUP(Table1[[#This Row],[Status]],Auxiliar!$B$16:$D$24,3,0)*Table1[[#This Row],[Estimação (horas)]]</f>
        <v>0.5</v>
      </c>
      <c r="X1132" s="114"/>
    </row>
    <row r="1133" spans="2:24" ht="17.7" hidden="1" customHeight="1" x14ac:dyDescent="0.25">
      <c r="B1133" s="39" t="s">
        <v>26</v>
      </c>
      <c r="C1133" s="39" t="s">
        <v>26</v>
      </c>
      <c r="D1133" s="39" t="s">
        <v>1358</v>
      </c>
      <c r="E1133" s="39" t="s">
        <v>1340</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45581</v>
      </c>
      <c r="O1133" s="21">
        <f>INDEX(Auxiliar!$D$5:$F$13,MATCH(Table1[[#This Row],[Tipologia_Testes]],Auxiliar!$B$5:$B$13,0),MATCH(Table1[[#This Row],[Complexidade]],Auxiliar!$D$4:$F$4,0))</f>
        <v>0.1</v>
      </c>
      <c r="P1133" s="43" t="s">
        <v>1359</v>
      </c>
      <c r="Q1133" s="152"/>
      <c r="R1133" s="152">
        <v>45583</v>
      </c>
      <c r="S1133" s="152"/>
      <c r="T1133" s="152">
        <v>45583</v>
      </c>
      <c r="U1133" s="152">
        <v>45596</v>
      </c>
      <c r="V1133" s="152">
        <v>45596</v>
      </c>
      <c r="W1133" s="2">
        <f>VLOOKUP(Table1[[#This Row],[Status]],Auxiliar!$B$16:$D$24,3,0)*Table1[[#This Row],[Estimação (horas)]]</f>
        <v>2.5000000000000001E-2</v>
      </c>
      <c r="X1133" s="114"/>
    </row>
    <row r="1134" spans="2:24" ht="17.7" hidden="1" customHeight="1" x14ac:dyDescent="0.25">
      <c r="B1134" s="41" t="s">
        <v>26</v>
      </c>
      <c r="C1134" s="41" t="s">
        <v>26</v>
      </c>
      <c r="D1134" s="37" t="s">
        <v>1358</v>
      </c>
      <c r="E1134" s="42" t="s">
        <v>1340</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45581</v>
      </c>
      <c r="O1134" s="21">
        <f>INDEX(Auxiliar!$D$5:$F$13,MATCH(Table1[[#This Row],[Tipologia_Testes]],Auxiliar!$B$5:$B$13,0),MATCH(Table1[[#This Row],[Complexidade]],Auxiliar!$D$4:$F$4,0))</f>
        <v>2</v>
      </c>
      <c r="P1134" s="43" t="s">
        <v>1359</v>
      </c>
      <c r="Q1134" s="152"/>
      <c r="R1134" s="152">
        <v>45583</v>
      </c>
      <c r="S1134" s="152"/>
      <c r="T1134" s="152">
        <v>45583</v>
      </c>
      <c r="U1134" s="152">
        <v>45596</v>
      </c>
      <c r="V1134" s="152">
        <v>45596</v>
      </c>
      <c r="W1134" s="2">
        <f>VLOOKUP(Table1[[#This Row],[Status]],Auxiliar!$B$16:$D$24,3,0)*Table1[[#This Row],[Estimação (horas)]]</f>
        <v>0.5</v>
      </c>
      <c r="X1134" s="114"/>
    </row>
    <row r="1135" spans="2:24" ht="17.7" hidden="1" customHeight="1" x14ac:dyDescent="0.25">
      <c r="B1135" s="39" t="s">
        <v>26</v>
      </c>
      <c r="C1135" s="39" t="s">
        <v>26</v>
      </c>
      <c r="D1135" s="39" t="s">
        <v>1358</v>
      </c>
      <c r="E1135" s="39" t="s">
        <v>1340</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45581</v>
      </c>
      <c r="O1135" s="21">
        <f>INDEX(Auxiliar!$D$5:$F$13,MATCH(Table1[[#This Row],[Tipologia_Testes]],Auxiliar!$B$5:$B$13,0),MATCH(Table1[[#This Row],[Complexidade]],Auxiliar!$D$4:$F$4,0))</f>
        <v>2</v>
      </c>
      <c r="P1135" s="43" t="s">
        <v>1359</v>
      </c>
      <c r="Q1135" s="152"/>
      <c r="R1135" s="152">
        <v>45583</v>
      </c>
      <c r="S1135" s="152"/>
      <c r="T1135" s="152">
        <v>45583</v>
      </c>
      <c r="U1135" s="152">
        <v>45596</v>
      </c>
      <c r="V1135" s="152">
        <v>45596</v>
      </c>
      <c r="W1135" s="2">
        <f>VLOOKUP(Table1[[#This Row],[Status]],Auxiliar!$B$16:$D$24,3,0)*Table1[[#This Row],[Estimação (horas)]]</f>
        <v>0.5</v>
      </c>
      <c r="X1135" s="114"/>
    </row>
    <row r="1136" spans="2:24" ht="17.7" hidden="1" customHeight="1" x14ac:dyDescent="0.25">
      <c r="B1136" s="39" t="s">
        <v>26</v>
      </c>
      <c r="C1136" s="39" t="s">
        <v>26</v>
      </c>
      <c r="D1136" s="39" t="s">
        <v>1358</v>
      </c>
      <c r="E1136" s="39" t="s">
        <v>1340</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45581</v>
      </c>
      <c r="O1136" s="21">
        <f>INDEX(Auxiliar!$D$5:$F$13,MATCH(Table1[[#This Row],[Tipologia_Testes]],Auxiliar!$B$5:$B$13,0),MATCH(Table1[[#This Row],[Complexidade]],Auxiliar!$D$4:$F$4,0))</f>
        <v>0.1</v>
      </c>
      <c r="P1136" s="43" t="s">
        <v>1359</v>
      </c>
      <c r="Q1136" s="152"/>
      <c r="R1136" s="152">
        <v>45583</v>
      </c>
      <c r="S1136" s="152"/>
      <c r="T1136" s="152">
        <v>45583</v>
      </c>
      <c r="U1136" s="152">
        <v>45596</v>
      </c>
      <c r="V1136" s="152">
        <v>45596</v>
      </c>
      <c r="W1136" s="2">
        <f>VLOOKUP(Table1[[#This Row],[Status]],Auxiliar!$B$16:$D$24,3,0)*Table1[[#This Row],[Estimação (horas)]]</f>
        <v>2.5000000000000001E-2</v>
      </c>
      <c r="X1136" s="114"/>
    </row>
    <row r="1137" spans="2:24" ht="17.7" hidden="1" customHeight="1" x14ac:dyDescent="0.25">
      <c r="B1137" s="41" t="s">
        <v>26</v>
      </c>
      <c r="C1137" s="41" t="s">
        <v>26</v>
      </c>
      <c r="D1137" s="37" t="s">
        <v>1358</v>
      </c>
      <c r="E1137" s="42" t="s">
        <v>1340</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45580</v>
      </c>
      <c r="O1137" s="21">
        <f>INDEX(Auxiliar!$D$5:$F$13,MATCH(Table1[[#This Row],[Tipologia_Testes]],Auxiliar!$B$5:$B$13,0),MATCH(Table1[[#This Row],[Complexidade]],Auxiliar!$D$4:$F$4,0))</f>
        <v>2</v>
      </c>
      <c r="P1137" s="43" t="s">
        <v>1359</v>
      </c>
      <c r="Q1137" s="152"/>
      <c r="R1137" s="152">
        <v>45583</v>
      </c>
      <c r="S1137" s="152"/>
      <c r="T1137" s="152">
        <v>45583</v>
      </c>
      <c r="U1137" s="152">
        <v>45596</v>
      </c>
      <c r="V1137" s="152">
        <v>45596</v>
      </c>
      <c r="W1137" s="2">
        <f>VLOOKUP(Table1[[#This Row],[Status]],Auxiliar!$B$16:$D$24,3,0)*Table1[[#This Row],[Estimação (horas)]]</f>
        <v>0.5</v>
      </c>
      <c r="X1137" s="114"/>
    </row>
    <row r="1138" spans="2:24" ht="17.7" hidden="1" customHeight="1" x14ac:dyDescent="0.25">
      <c r="B1138" s="39" t="s">
        <v>26</v>
      </c>
      <c r="C1138" s="39" t="s">
        <v>26</v>
      </c>
      <c r="D1138" s="39" t="s">
        <v>1358</v>
      </c>
      <c r="E1138" s="39" t="s">
        <v>1340</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45580</v>
      </c>
      <c r="O1138" s="21">
        <f>INDEX(Auxiliar!$D$5:$F$13,MATCH(Table1[[#This Row],[Tipologia_Testes]],Auxiliar!$B$5:$B$13,0),MATCH(Table1[[#This Row],[Complexidade]],Auxiliar!$D$4:$F$4,0))</f>
        <v>2</v>
      </c>
      <c r="P1138" s="43" t="s">
        <v>1359</v>
      </c>
      <c r="Q1138" s="152"/>
      <c r="R1138" s="152">
        <v>45583</v>
      </c>
      <c r="S1138" s="152"/>
      <c r="T1138" s="152">
        <v>45583</v>
      </c>
      <c r="U1138" s="152">
        <v>45596</v>
      </c>
      <c r="V1138" s="152">
        <v>45596</v>
      </c>
      <c r="W1138" s="2">
        <f>VLOOKUP(Table1[[#This Row],[Status]],Auxiliar!$B$16:$D$24,3,0)*Table1[[#This Row],[Estimação (horas)]]</f>
        <v>0.5</v>
      </c>
      <c r="X1138" s="114"/>
    </row>
    <row r="1139" spans="2:24" ht="17.7" hidden="1" customHeight="1" x14ac:dyDescent="0.25">
      <c r="B1139" s="39" t="s">
        <v>26</v>
      </c>
      <c r="C1139" s="39" t="s">
        <v>26</v>
      </c>
      <c r="D1139" s="39" t="s">
        <v>1358</v>
      </c>
      <c r="E1139" s="39" t="s">
        <v>1340</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45580</v>
      </c>
      <c r="O1139" s="21">
        <f>INDEX(Auxiliar!$D$5:$F$13,MATCH(Table1[[#This Row],[Tipologia_Testes]],Auxiliar!$B$5:$B$13,0),MATCH(Table1[[#This Row],[Complexidade]],Auxiliar!$D$4:$F$4,0))</f>
        <v>0.1</v>
      </c>
      <c r="P1139" s="43" t="s">
        <v>1359</v>
      </c>
      <c r="Q1139" s="152"/>
      <c r="R1139" s="152">
        <v>45583</v>
      </c>
      <c r="S1139" s="152"/>
      <c r="T1139" s="152">
        <v>45583</v>
      </c>
      <c r="U1139" s="152">
        <v>45596</v>
      </c>
      <c r="V1139" s="152">
        <v>45596</v>
      </c>
      <c r="W1139" s="2">
        <f>VLOOKUP(Table1[[#This Row],[Status]],Auxiliar!$B$16:$D$24,3,0)*Table1[[#This Row],[Estimação (horas)]]</f>
        <v>2.5000000000000001E-2</v>
      </c>
      <c r="X1139" s="114"/>
    </row>
    <row r="1140" spans="2:24" ht="34.950000000000003" hidden="1" customHeight="1" x14ac:dyDescent="0.25">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1347</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x14ac:dyDescent="0.25">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1347</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x14ac:dyDescent="0.25">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1347</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x14ac:dyDescent="0.25">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1347</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x14ac:dyDescent="0.25">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1347</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x14ac:dyDescent="0.25">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1347</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x14ac:dyDescent="0.25">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x14ac:dyDescent="0.25">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x14ac:dyDescent="0.25">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x14ac:dyDescent="0.25">
      <c r="B1149" s="41" t="s">
        <v>26</v>
      </c>
      <c r="C1149" s="41" t="s">
        <v>26</v>
      </c>
      <c r="D1149" s="37" t="s">
        <v>478</v>
      </c>
      <c r="E1149" s="42" t="s">
        <v>479</v>
      </c>
      <c r="F1149" s="40" t="s">
        <v>369</v>
      </c>
      <c r="G1149" s="38" t="s">
        <v>1364</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x14ac:dyDescent="0.25">
      <c r="B1150" s="39" t="s">
        <v>26</v>
      </c>
      <c r="C1150" s="39" t="s">
        <v>26</v>
      </c>
      <c r="D1150" s="39" t="s">
        <v>478</v>
      </c>
      <c r="E1150" s="39" t="s">
        <v>479</v>
      </c>
      <c r="F1150" s="39" t="s">
        <v>369</v>
      </c>
      <c r="G1150" s="39" t="s">
        <v>1364</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x14ac:dyDescent="0.25">
      <c r="B1151" s="39" t="s">
        <v>26</v>
      </c>
      <c r="C1151" s="39" t="s">
        <v>26</v>
      </c>
      <c r="D1151" s="39" t="s">
        <v>478</v>
      </c>
      <c r="E1151" s="39" t="s">
        <v>479</v>
      </c>
      <c r="F1151" s="39" t="s">
        <v>369</v>
      </c>
      <c r="G1151" s="39" t="s">
        <v>1364</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x14ac:dyDescent="0.25">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x14ac:dyDescent="0.25">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x14ac:dyDescent="0.25">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x14ac:dyDescent="0.25">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x14ac:dyDescent="0.25">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x14ac:dyDescent="0.25">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x14ac:dyDescent="0.25">
      <c r="B1158" s="41" t="s">
        <v>26</v>
      </c>
      <c r="C1158" s="41" t="s">
        <v>26</v>
      </c>
      <c r="D1158" s="2" t="s">
        <v>38</v>
      </c>
      <c r="E1158" s="42" t="s">
        <v>38</v>
      </c>
      <c r="F1158" s="40" t="s">
        <v>380</v>
      </c>
      <c r="G1158" s="38" t="s">
        <v>381</v>
      </c>
      <c r="H1158" s="60" t="str">
        <f>Table1[[#This Row],[Tabela]]&amp;Table1[[#This Row],[Campo]]</f>
        <v>lt002_instrumentrsk_mtgtd_cct</v>
      </c>
      <c r="I1158" s="2" t="s">
        <v>619</v>
      </c>
      <c r="J1158" s="45">
        <f>VLOOKUP(Table1[[#This Row],[Status]],Auxiliar!$B$16:$C$24,2,0)</f>
        <v>7</v>
      </c>
      <c r="K1158" s="45" t="s">
        <v>1252</v>
      </c>
      <c r="L1158" s="46" t="s">
        <v>1258</v>
      </c>
      <c r="M1158" s="21" t="s">
        <v>1259</v>
      </c>
      <c r="N1158" s="48">
        <v>45596</v>
      </c>
      <c r="O1158" s="21">
        <f>INDEX(Auxiliar!$D$5:$F$13,MATCH(Table1[[#This Row],[Tipologia_Testes]],Auxiliar!$B$5:$B$13,0),MATCH(Table1[[#This Row],[Complexidade]],Auxiliar!$D$4:$F$4,0))</f>
        <v>2</v>
      </c>
      <c r="P1158" s="43"/>
      <c r="Q1158" s="152"/>
      <c r="R1158" s="152">
        <v>45595</v>
      </c>
      <c r="S1158" s="152"/>
      <c r="T1158" s="152">
        <v>45595</v>
      </c>
      <c r="U1158" s="152">
        <v>374329</v>
      </c>
      <c r="V1158" s="152"/>
      <c r="W1158" s="2">
        <f>VLOOKUP(Table1[[#This Row],[Status]],Auxiliar!$B$16:$D$24,3,0)*Table1[[#This Row],[Estimação (horas)]]</f>
        <v>0.5</v>
      </c>
      <c r="X1158" s="114"/>
    </row>
    <row r="1159" spans="2:24" ht="17.7" hidden="1" customHeight="1" x14ac:dyDescent="0.25">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1253</v>
      </c>
      <c r="L1159" s="46" t="s">
        <v>1258</v>
      </c>
      <c r="M1159" s="21" t="s">
        <v>1259</v>
      </c>
      <c r="N1159" s="48">
        <v>45596</v>
      </c>
      <c r="O1159" s="21">
        <f>INDEX(Auxiliar!$D$5:$F$13,MATCH(Table1[[#This Row],[Tipologia_Testes]],Auxiliar!$B$5:$B$13,0),MATCH(Table1[[#This Row],[Complexidade]],Auxiliar!$D$4:$F$4,0))</f>
        <v>2</v>
      </c>
      <c r="P1159" s="43"/>
      <c r="Q1159" s="152"/>
      <c r="R1159" s="152">
        <v>45595</v>
      </c>
      <c r="S1159" s="152"/>
      <c r="T1159" s="152">
        <v>45595</v>
      </c>
      <c r="U1159" s="152">
        <v>374329</v>
      </c>
      <c r="V1159" s="152"/>
      <c r="W1159" s="2">
        <f>VLOOKUP(Table1[[#This Row],[Status]],Auxiliar!$B$16:$D$24,3,0)*Table1[[#This Row],[Estimação (horas)]]</f>
        <v>0.5</v>
      </c>
      <c r="X1159" s="114"/>
    </row>
    <row r="1160" spans="2:24" ht="17.7" hidden="1" customHeight="1" x14ac:dyDescent="0.25">
      <c r="B1160" s="39" t="s">
        <v>26</v>
      </c>
      <c r="C1160" s="39" t="s">
        <v>26</v>
      </c>
      <c r="D1160" s="2" t="s">
        <v>38</v>
      </c>
      <c r="E1160" s="39" t="s">
        <v>38</v>
      </c>
      <c r="F1160" s="39" t="s">
        <v>380</v>
      </c>
      <c r="G1160" s="39" t="s">
        <v>381</v>
      </c>
      <c r="H1160" s="59" t="str">
        <f>Table1[[#This Row],[Tabela]]&amp;Table1[[#This Row],[Campo]]</f>
        <v>lt002_instrumentrsk_mtgtd_cct</v>
      </c>
      <c r="I1160" s="2" t="s">
        <v>619</v>
      </c>
      <c r="J1160" s="45">
        <f>VLOOKUP(Table1[[#This Row],[Status]],Auxiliar!$B$16:$C$24,2,0)</f>
        <v>7</v>
      </c>
      <c r="K1160" s="45" t="s">
        <v>1255</v>
      </c>
      <c r="L1160" s="46" t="s">
        <v>1258</v>
      </c>
      <c r="M1160" s="21" t="s">
        <v>1259</v>
      </c>
      <c r="N1160" s="48">
        <v>45596</v>
      </c>
      <c r="O1160" s="21">
        <f>INDEX(Auxiliar!$D$5:$F$13,MATCH(Table1[[#This Row],[Tipologia_Testes]],Auxiliar!$B$5:$B$13,0),MATCH(Table1[[#This Row],[Complexidade]],Auxiliar!$D$4:$F$4,0))</f>
        <v>0.1</v>
      </c>
      <c r="P1160" s="43"/>
      <c r="Q1160" s="152"/>
      <c r="R1160" s="152">
        <v>45595</v>
      </c>
      <c r="S1160" s="152"/>
      <c r="T1160" s="152">
        <v>45595</v>
      </c>
      <c r="U1160" s="152">
        <v>374329</v>
      </c>
      <c r="V1160" s="152"/>
      <c r="W1160" s="2">
        <f>VLOOKUP(Table1[[#This Row],[Status]],Auxiliar!$B$16:$D$24,3,0)*Table1[[#This Row],[Estimação (horas)]]</f>
        <v>2.5000000000000001E-2</v>
      </c>
      <c r="X1160" s="114"/>
    </row>
    <row r="1161" spans="2:24" ht="17.7" hidden="1" customHeight="1" x14ac:dyDescent="0.25">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x14ac:dyDescent="0.25">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x14ac:dyDescent="0.25">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x14ac:dyDescent="0.25">
      <c r="B1164" s="41" t="s">
        <v>26</v>
      </c>
      <c r="C1164" s="41" t="s">
        <v>26</v>
      </c>
      <c r="D1164" s="37" t="s">
        <v>1358</v>
      </c>
      <c r="E1164" s="42" t="s">
        <v>1340</v>
      </c>
      <c r="F1164" s="40" t="s">
        <v>1965</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x14ac:dyDescent="0.25">
      <c r="B1165" s="39" t="s">
        <v>26</v>
      </c>
      <c r="C1165" s="39" t="s">
        <v>26</v>
      </c>
      <c r="D1165" s="39" t="s">
        <v>1358</v>
      </c>
      <c r="E1165" s="39" t="s">
        <v>1340</v>
      </c>
      <c r="F1165" s="40" t="s">
        <v>1965</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x14ac:dyDescent="0.25">
      <c r="B1166" s="39" t="s">
        <v>26</v>
      </c>
      <c r="C1166" s="39" t="s">
        <v>26</v>
      </c>
      <c r="D1166" s="39" t="s">
        <v>1358</v>
      </c>
      <c r="E1166" s="39" t="s">
        <v>1340</v>
      </c>
      <c r="F1166" s="40" t="s">
        <v>1965</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x14ac:dyDescent="0.25">
      <c r="B1167" s="41" t="s">
        <v>26</v>
      </c>
      <c r="C1167" s="41" t="s">
        <v>26</v>
      </c>
      <c r="D1167" s="37" t="s">
        <v>1358</v>
      </c>
      <c r="E1167" s="42" t="s">
        <v>1340</v>
      </c>
      <c r="F1167" s="40" t="s">
        <v>1965</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x14ac:dyDescent="0.25">
      <c r="B1168" s="39" t="s">
        <v>26</v>
      </c>
      <c r="C1168" s="39" t="s">
        <v>26</v>
      </c>
      <c r="D1168" s="39" t="s">
        <v>1358</v>
      </c>
      <c r="E1168" s="39" t="s">
        <v>1340</v>
      </c>
      <c r="F1168" s="40" t="s">
        <v>1965</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x14ac:dyDescent="0.25">
      <c r="B1169" s="39" t="s">
        <v>26</v>
      </c>
      <c r="C1169" s="39" t="s">
        <v>26</v>
      </c>
      <c r="D1169" s="39" t="s">
        <v>1358</v>
      </c>
      <c r="E1169" s="39" t="s">
        <v>1340</v>
      </c>
      <c r="F1169" s="40" t="s">
        <v>1965</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x14ac:dyDescent="0.25">
      <c r="B1170" s="41" t="s">
        <v>26</v>
      </c>
      <c r="C1170" s="41" t="s">
        <v>26</v>
      </c>
      <c r="D1170" s="38" t="s">
        <v>1358</v>
      </c>
      <c r="E1170" s="42" t="s">
        <v>1340</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1365</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x14ac:dyDescent="0.25">
      <c r="B1171" s="39" t="s">
        <v>26</v>
      </c>
      <c r="C1171" s="39" t="s">
        <v>26</v>
      </c>
      <c r="D1171" s="39" t="s">
        <v>1358</v>
      </c>
      <c r="E1171" s="39" t="s">
        <v>1340</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1365</v>
      </c>
      <c r="Q1171" s="152"/>
      <c r="R1171" s="152">
        <v>45583</v>
      </c>
      <c r="S1171" s="152"/>
      <c r="T1171" s="152">
        <v>45583</v>
      </c>
      <c r="U1171" s="152"/>
      <c r="V1171" s="152">
        <v>45589</v>
      </c>
      <c r="W1171" s="2">
        <f>VLOOKUP(Table1[[#This Row],[Status]],Auxiliar!$B$16:$D$24,3,0)*Table1[[#This Row],[Estimação (horas)]]</f>
        <v>2</v>
      </c>
      <c r="X1171" s="114"/>
    </row>
    <row r="1172" spans="2:24" ht="17.7" hidden="1" customHeight="1" x14ac:dyDescent="0.25">
      <c r="B1172" s="39" t="s">
        <v>26</v>
      </c>
      <c r="C1172" s="39" t="s">
        <v>26</v>
      </c>
      <c r="D1172" s="39" t="s">
        <v>1358</v>
      </c>
      <c r="E1172" s="39" t="s">
        <v>1340</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1365</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x14ac:dyDescent="0.25">
      <c r="B1173" s="41" t="s">
        <v>26</v>
      </c>
      <c r="C1173" s="41" t="s">
        <v>26</v>
      </c>
      <c r="D1173" s="37" t="s">
        <v>1966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45596</v>
      </c>
      <c r="O1173" s="21">
        <f>INDEX(Auxiliar!$D$5:$F$13,MATCH(Table1[[#This Row],[Tipologia_Testes]],Auxiliar!$B$5:$B$13,0),MATCH(Table1[[#This Row],[Complexidade]],Auxiliar!$D$4:$F$4,0))</f>
        <v>2</v>
      </c>
      <c r="P1173" s="43"/>
      <c r="Q1173" s="152"/>
      <c r="R1173" s="152">
        <v>45593</v>
      </c>
      <c r="S1173" s="152"/>
      <c r="T1173" s="152">
        <v>45593</v>
      </c>
      <c r="U1173" s="152">
        <v>45611</v>
      </c>
      <c r="V1173" s="152"/>
      <c r="W1173" s="2">
        <f>VLOOKUP(Table1[[#This Row],[Status]],Auxiliar!$B$16:$D$24,3,0)*Table1[[#This Row],[Estimação (horas)]]</f>
        <v>0.5</v>
      </c>
      <c r="X1173" s="114"/>
    </row>
    <row r="1174" spans="2:24" ht="17.7" hidden="1" customHeight="1" x14ac:dyDescent="0.25">
      <c r="B1174" s="39" t="s">
        <v>26</v>
      </c>
      <c r="C1174" s="39" t="s">
        <v>26</v>
      </c>
      <c r="D1174" s="39" t="s">
        <v>1966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45596</v>
      </c>
      <c r="O1174" s="21">
        <f>INDEX(Auxiliar!$D$5:$F$13,MATCH(Table1[[#This Row],[Tipologia_Testes]],Auxiliar!$B$5:$B$13,0),MATCH(Table1[[#This Row],[Complexidade]],Auxiliar!$D$4:$F$4,0))</f>
        <v>2</v>
      </c>
      <c r="P1174" s="43"/>
      <c r="Q1174" s="152"/>
      <c r="R1174" s="152">
        <v>45593</v>
      </c>
      <c r="S1174" s="152"/>
      <c r="T1174" s="152">
        <v>45593</v>
      </c>
      <c r="U1174" s="152">
        <v>45611</v>
      </c>
      <c r="V1174" s="152"/>
      <c r="W1174" s="2">
        <f>VLOOKUP(Table1[[#This Row],[Status]],Auxiliar!$B$16:$D$24,3,0)*Table1[[#This Row],[Estimação (horas)]]</f>
        <v>0.5</v>
      </c>
      <c r="X1174" s="114"/>
    </row>
    <row r="1175" spans="2:24" ht="17.7" hidden="1" customHeight="1" x14ac:dyDescent="0.25">
      <c r="B1175" s="39" t="s">
        <v>26</v>
      </c>
      <c r="C1175" s="39" t="s">
        <v>26</v>
      </c>
      <c r="D1175" s="39" t="s">
        <v>1966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45596</v>
      </c>
      <c r="O1175" s="21">
        <f>INDEX(Auxiliar!$D$5:$F$13,MATCH(Table1[[#This Row],[Tipologia_Testes]],Auxiliar!$B$5:$B$13,0),MATCH(Table1[[#This Row],[Complexidade]],Auxiliar!$D$4:$F$4,0))</f>
        <v>0.1</v>
      </c>
      <c r="P1175" s="43"/>
      <c r="Q1175" s="152"/>
      <c r="R1175" s="152">
        <v>45593</v>
      </c>
      <c r="S1175" s="152"/>
      <c r="T1175" s="152">
        <v>45593</v>
      </c>
      <c r="U1175" s="152">
        <v>45611</v>
      </c>
      <c r="V1175" s="152"/>
      <c r="W1175" s="2">
        <f>VLOOKUP(Table1[[#This Row],[Status]],Auxiliar!$B$16:$D$24,3,0)*Table1[[#This Row],[Estimação (horas)]]</f>
        <v>2.5000000000000001E-2</v>
      </c>
      <c r="X1175" s="114"/>
    </row>
    <row r="1176" spans="2:24" ht="34.950000000000003" hidden="1" customHeight="1" x14ac:dyDescent="0.25">
      <c r="B1176" s="41" t="s">
        <v>26</v>
      </c>
      <c r="C1176" s="41" t="s">
        <v>26</v>
      </c>
      <c r="D1176" s="37" t="s">
        <v>1966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45596</v>
      </c>
      <c r="O1176" s="21">
        <f>INDEX(Auxiliar!$D$5:$F$13,MATCH(Table1[[#This Row],[Tipologia_Testes]],Auxiliar!$B$5:$B$13,0),MATCH(Table1[[#This Row],[Complexidade]],Auxiliar!$D$4:$F$4,0))</f>
        <v>2</v>
      </c>
      <c r="P1176" s="43"/>
      <c r="Q1176" s="152"/>
      <c r="R1176" s="152">
        <v>45593</v>
      </c>
      <c r="S1176" s="152"/>
      <c r="T1176" s="152">
        <v>45593</v>
      </c>
      <c r="U1176" s="152">
        <v>45611</v>
      </c>
      <c r="V1176" s="152"/>
      <c r="W1176" s="2">
        <f>VLOOKUP(Table1[[#This Row],[Status]],Auxiliar!$B$16:$D$24,3,0)*Table1[[#This Row],[Estimação (horas)]]</f>
        <v>0.5</v>
      </c>
      <c r="X1176" s="114"/>
    </row>
    <row r="1177" spans="2:24" ht="17.7" hidden="1" customHeight="1" x14ac:dyDescent="0.25">
      <c r="B1177" s="39" t="s">
        <v>26</v>
      </c>
      <c r="C1177" s="39" t="s">
        <v>26</v>
      </c>
      <c r="D1177" s="39" t="s">
        <v>1966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45596</v>
      </c>
      <c r="O1177" s="21">
        <f>INDEX(Auxiliar!$D$5:$F$13,MATCH(Table1[[#This Row],[Tipologia_Testes]],Auxiliar!$B$5:$B$13,0),MATCH(Table1[[#This Row],[Complexidade]],Auxiliar!$D$4:$F$4,0))</f>
        <v>2</v>
      </c>
      <c r="P1177" s="43"/>
      <c r="Q1177" s="152"/>
      <c r="R1177" s="152">
        <v>45593</v>
      </c>
      <c r="S1177" s="152"/>
      <c r="T1177" s="152">
        <v>45593</v>
      </c>
      <c r="U1177" s="152">
        <v>45611</v>
      </c>
      <c r="V1177" s="152"/>
      <c r="W1177" s="2">
        <f>VLOOKUP(Table1[[#This Row],[Status]],Auxiliar!$B$16:$D$24,3,0)*Table1[[#This Row],[Estimação (horas)]]</f>
        <v>0.5</v>
      </c>
      <c r="X1177" s="114"/>
    </row>
    <row r="1178" spans="2:24" ht="17.7" hidden="1" customHeight="1" x14ac:dyDescent="0.25">
      <c r="B1178" s="39" t="s">
        <v>26</v>
      </c>
      <c r="C1178" s="39" t="s">
        <v>26</v>
      </c>
      <c r="D1178" s="39" t="s">
        <v>1966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45596</v>
      </c>
      <c r="O1178" s="21">
        <f>INDEX(Auxiliar!$D$5:$F$13,MATCH(Table1[[#This Row],[Tipologia_Testes]],Auxiliar!$B$5:$B$13,0),MATCH(Table1[[#This Row],[Complexidade]],Auxiliar!$D$4:$F$4,0))</f>
        <v>0.1</v>
      </c>
      <c r="P1178" s="43"/>
      <c r="Q1178" s="152"/>
      <c r="R1178" s="152">
        <v>45593</v>
      </c>
      <c r="S1178" s="152"/>
      <c r="T1178" s="152">
        <v>45593</v>
      </c>
      <c r="U1178" s="152">
        <v>45611</v>
      </c>
      <c r="V1178" s="152"/>
      <c r="W1178" s="2">
        <f>VLOOKUP(Table1[[#This Row],[Status]],Auxiliar!$B$16:$D$24,3,0)*Table1[[#This Row],[Estimação (horas)]]</f>
        <v>2.5000000000000001E-2</v>
      </c>
      <c r="X1178" s="114"/>
    </row>
    <row r="1179" spans="2:24" ht="34.950000000000003" hidden="1" customHeight="1" x14ac:dyDescent="0.25">
      <c r="B1179" s="39" t="s">
        <v>26</v>
      </c>
      <c r="C1179" s="39" t="s">
        <v>26</v>
      </c>
      <c r="D1179" s="37" t="s">
        <v>1966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45596</v>
      </c>
      <c r="O1179" s="21">
        <f>INDEX(Auxiliar!$D$5:$F$13,MATCH(Table1[[#This Row],[Tipologia_Testes]],Auxiliar!$B$5:$B$13,0),MATCH(Table1[[#This Row],[Complexidade]],Auxiliar!$D$4:$F$4,0))</f>
        <v>2</v>
      </c>
      <c r="P1179" s="43"/>
      <c r="Q1179" s="152"/>
      <c r="R1179" s="152">
        <v>45593</v>
      </c>
      <c r="S1179" s="152"/>
      <c r="T1179" s="152">
        <v>45593</v>
      </c>
      <c r="U1179" s="152">
        <v>45611</v>
      </c>
      <c r="V1179" s="152"/>
      <c r="W1179" s="2">
        <f>VLOOKUP(Table1[[#This Row],[Status]],Auxiliar!$B$16:$D$24,3,0)*Table1[[#This Row],[Estimação (horas)]]</f>
        <v>0.5</v>
      </c>
      <c r="X1179" s="114"/>
    </row>
    <row r="1180" spans="2:24" ht="17.7" hidden="1" customHeight="1" x14ac:dyDescent="0.25">
      <c r="B1180" s="39" t="s">
        <v>26</v>
      </c>
      <c r="C1180" s="39" t="s">
        <v>26</v>
      </c>
      <c r="D1180" s="39" t="s">
        <v>1966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45596</v>
      </c>
      <c r="O1180" s="21">
        <f>INDEX(Auxiliar!$D$5:$F$13,MATCH(Table1[[#This Row],[Tipologia_Testes]],Auxiliar!$B$5:$B$13,0),MATCH(Table1[[#This Row],[Complexidade]],Auxiliar!$D$4:$F$4,0))</f>
        <v>2</v>
      </c>
      <c r="P1180" s="43"/>
      <c r="Q1180" s="152"/>
      <c r="R1180" s="152">
        <v>45593</v>
      </c>
      <c r="S1180" s="152"/>
      <c r="T1180" s="152">
        <v>45593</v>
      </c>
      <c r="U1180" s="152">
        <v>45611</v>
      </c>
      <c r="V1180" s="152"/>
      <c r="W1180" s="2">
        <f>VLOOKUP(Table1[[#This Row],[Status]],Auxiliar!$B$16:$D$24,3,0)*Table1[[#This Row],[Estimação (horas)]]</f>
        <v>0.5</v>
      </c>
      <c r="X1180" s="114"/>
    </row>
    <row r="1181" spans="2:24" ht="17.7" hidden="1" customHeight="1" x14ac:dyDescent="0.25">
      <c r="B1181" s="39" t="s">
        <v>26</v>
      </c>
      <c r="C1181" s="39" t="s">
        <v>26</v>
      </c>
      <c r="D1181" s="39" t="s">
        <v>1966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45596</v>
      </c>
      <c r="O1181" s="21">
        <f>INDEX(Auxiliar!$D$5:$F$13,MATCH(Table1[[#This Row],[Tipologia_Testes]],Auxiliar!$B$5:$B$13,0),MATCH(Table1[[#This Row],[Complexidade]],Auxiliar!$D$4:$F$4,0))</f>
        <v>0.1</v>
      </c>
      <c r="P1181" s="43"/>
      <c r="Q1181" s="152"/>
      <c r="R1181" s="152">
        <v>45593</v>
      </c>
      <c r="S1181" s="152"/>
      <c r="T1181" s="152">
        <v>45593</v>
      </c>
      <c r="U1181" s="152">
        <v>45611</v>
      </c>
      <c r="V1181" s="152"/>
      <c r="W1181" s="2">
        <f>VLOOKUP(Table1[[#This Row],[Status]],Auxiliar!$B$16:$D$24,3,0)*Table1[[#This Row],[Estimação (horas)]]</f>
        <v>2.5000000000000001E-2</v>
      </c>
      <c r="X1181" s="114"/>
    </row>
    <row r="1182" spans="2:24" ht="17.7" hidden="1" customHeight="1" x14ac:dyDescent="0.25">
      <c r="B1182" s="39" t="s">
        <v>26</v>
      </c>
      <c r="C1182" s="39" t="s">
        <v>26</v>
      </c>
      <c r="D1182" s="40" t="s">
        <v>1366</v>
      </c>
      <c r="E1182" s="42" t="s">
        <v>1367</v>
      </c>
      <c r="F1182" s="40" t="s">
        <v>380</v>
      </c>
      <c r="G1182" s="38" t="s">
        <v>389</v>
      </c>
      <c r="H1182" s="60" t="str">
        <f>Table1[[#This Row],[Tabela]]&amp;Table1[[#This Row],[Campo]]</f>
        <v>lt002_instrumentsstnbl_ctgry_txnmy</v>
      </c>
      <c r="I1182" s="2" t="s">
        <v>619</v>
      </c>
      <c r="J1182" s="45">
        <f>VLOOKUP(Table1[[#This Row],[Status]],Auxiliar!$B$16:$C$24,2,0)</f>
        <v>7</v>
      </c>
      <c r="K1182" s="45" t="s">
        <v>1252</v>
      </c>
      <c r="L1182" s="46" t="s">
        <v>1258</v>
      </c>
      <c r="M1182" s="21" t="s">
        <v>1259</v>
      </c>
      <c r="N1182" s="48">
        <v>45590</v>
      </c>
      <c r="O1182" s="21">
        <f>INDEX(Auxiliar!$D$5:$F$13,MATCH(Table1[[#This Row],[Tipologia_Testes]],Auxiliar!$B$5:$B$13,0),MATCH(Table1[[#This Row],[Complexidade]],Auxiliar!$D$4:$F$4,0))</f>
        <v>2</v>
      </c>
      <c r="P1182" s="43"/>
      <c r="Q1182" s="152"/>
      <c r="R1182" s="152">
        <v>45593</v>
      </c>
      <c r="S1182" s="152"/>
      <c r="T1182" s="152">
        <v>45593</v>
      </c>
      <c r="U1182" s="152">
        <v>45624</v>
      </c>
      <c r="V1182" s="152"/>
      <c r="W1182" s="2">
        <f>VLOOKUP(Table1[[#This Row],[Status]],Auxiliar!$B$16:$D$24,3,0)*Table1[[#This Row],[Estimação (horas)]]</f>
        <v>0.5</v>
      </c>
      <c r="X1182" s="114"/>
    </row>
    <row r="1183" spans="2:24" ht="17.7" hidden="1" customHeight="1" x14ac:dyDescent="0.25">
      <c r="B1183" s="39" t="s">
        <v>26</v>
      </c>
      <c r="C1183" s="39" t="s">
        <v>26</v>
      </c>
      <c r="D1183" s="39" t="s">
        <v>1366</v>
      </c>
      <c r="E1183" s="39" t="s">
        <v>1367</v>
      </c>
      <c r="F1183" s="39" t="s">
        <v>380</v>
      </c>
      <c r="G1183" s="39" t="s">
        <v>389</v>
      </c>
      <c r="H1183" s="59" t="str">
        <f>Table1[[#This Row],[Tabela]]&amp;Table1[[#This Row],[Campo]]</f>
        <v>lt002_instrumentsstnbl_ctgry_txnmy</v>
      </c>
      <c r="I1183" s="2" t="s">
        <v>619</v>
      </c>
      <c r="J1183" s="45">
        <f>VLOOKUP(Table1[[#This Row],[Status]],Auxiliar!$B$16:$C$24,2,0)</f>
        <v>7</v>
      </c>
      <c r="K1183" s="45" t="s">
        <v>1253</v>
      </c>
      <c r="L1183" s="46" t="s">
        <v>1258</v>
      </c>
      <c r="M1183" s="21" t="s">
        <v>1259</v>
      </c>
      <c r="N1183" s="48">
        <v>45590</v>
      </c>
      <c r="O1183" s="21">
        <f>INDEX(Auxiliar!$D$5:$F$13,MATCH(Table1[[#This Row],[Tipologia_Testes]],Auxiliar!$B$5:$B$13,0),MATCH(Table1[[#This Row],[Complexidade]],Auxiliar!$D$4:$F$4,0))</f>
        <v>2</v>
      </c>
      <c r="P1183" s="43"/>
      <c r="Q1183" s="152"/>
      <c r="R1183" s="152">
        <v>45593</v>
      </c>
      <c r="S1183" s="152"/>
      <c r="T1183" s="152">
        <v>45593</v>
      </c>
      <c r="U1183" s="152">
        <v>45624</v>
      </c>
      <c r="V1183" s="152"/>
      <c r="W1183" s="2">
        <f>VLOOKUP(Table1[[#This Row],[Status]],Auxiliar!$B$16:$D$24,3,0)*Table1[[#This Row],[Estimação (horas)]]</f>
        <v>0.5</v>
      </c>
      <c r="X1183" s="114"/>
    </row>
    <row r="1184" spans="2:24" ht="17.7" hidden="1" customHeight="1" x14ac:dyDescent="0.25">
      <c r="B1184" s="39" t="s">
        <v>26</v>
      </c>
      <c r="C1184" s="39" t="s">
        <v>26</v>
      </c>
      <c r="D1184" s="39" t="s">
        <v>1366</v>
      </c>
      <c r="E1184" s="39" t="s">
        <v>1367</v>
      </c>
      <c r="F1184" s="39" t="s">
        <v>380</v>
      </c>
      <c r="G1184" s="39" t="s">
        <v>389</v>
      </c>
      <c r="H1184" s="59" t="str">
        <f>Table1[[#This Row],[Tabela]]&amp;Table1[[#This Row],[Campo]]</f>
        <v>lt002_instrumentsstnbl_ctgry_txnmy</v>
      </c>
      <c r="I1184" s="2" t="s">
        <v>619</v>
      </c>
      <c r="J1184" s="45">
        <f>VLOOKUP(Table1[[#This Row],[Status]],Auxiliar!$B$16:$C$24,2,0)</f>
        <v>7</v>
      </c>
      <c r="K1184" s="45" t="s">
        <v>1255</v>
      </c>
      <c r="L1184" s="46" t="s">
        <v>1258</v>
      </c>
      <c r="M1184" s="21" t="s">
        <v>1259</v>
      </c>
      <c r="N1184" s="48">
        <v>45590</v>
      </c>
      <c r="O1184" s="21">
        <f>INDEX(Auxiliar!$D$5:$F$13,MATCH(Table1[[#This Row],[Tipologia_Testes]],Auxiliar!$B$5:$B$13,0),MATCH(Table1[[#This Row],[Complexidade]],Auxiliar!$D$4:$F$4,0))</f>
        <v>0.1</v>
      </c>
      <c r="P1184" s="43"/>
      <c r="Q1184" s="152"/>
      <c r="R1184" s="152">
        <v>45593</v>
      </c>
      <c r="S1184" s="152"/>
      <c r="T1184" s="152">
        <v>45593</v>
      </c>
      <c r="U1184" s="152">
        <v>45624</v>
      </c>
      <c r="V1184" s="152"/>
      <c r="W1184" s="2">
        <f>VLOOKUP(Table1[[#This Row],[Status]],Auxiliar!$B$16:$D$24,3,0)*Table1[[#This Row],[Estimação (horas)]]</f>
        <v>2.5000000000000001E-2</v>
      </c>
      <c r="X1184" s="114"/>
    </row>
    <row r="1185" spans="2:24" ht="17.7" hidden="1" customHeight="1" x14ac:dyDescent="0.25">
      <c r="B1185" s="39" t="s">
        <v>26</v>
      </c>
      <c r="C1185" s="39" t="s">
        <v>26</v>
      </c>
      <c r="D1185" s="2" t="s">
        <v>38</v>
      </c>
      <c r="E1185" s="40" t="s">
        <v>38</v>
      </c>
      <c r="F1185" s="40" t="s">
        <v>1966</v>
      </c>
      <c r="G1185" s="40" t="s">
        <v>391</v>
      </c>
      <c r="H1185" s="60" t="str">
        <f>Table1[[#This Row],[Tabela]]&amp;Table1[[#This Row],[Campo]]</f>
        <v>lt827_mthd_usd_instrmntambito</v>
      </c>
      <c r="I1185" s="2" t="s">
        <v>619</v>
      </c>
      <c r="J1185" s="45">
        <f>VLOOKUP(Table1[[#This Row],[Status]],Auxiliar!$B$16:$C$24,2,0)</f>
        <v>7</v>
      </c>
      <c r="K1185" s="45" t="s">
        <v>1252</v>
      </c>
      <c r="L1185" s="46" t="s">
        <v>1258</v>
      </c>
      <c r="M1185" s="21" t="s">
        <v>1259</v>
      </c>
      <c r="N1185" s="48">
        <v>45596</v>
      </c>
      <c r="O1185" s="21">
        <f>INDEX(Auxiliar!$D$5:$F$13,MATCH(Table1[[#This Row],[Tipologia_Testes]],Auxiliar!$B$5:$B$13,0),MATCH(Table1[[#This Row],[Complexidade]],Auxiliar!$D$4:$F$4,0))</f>
        <v>2</v>
      </c>
      <c r="P1185" s="43"/>
      <c r="Q1185" s="152"/>
      <c r="R1185" s="152">
        <v>45593</v>
      </c>
      <c r="S1185" s="152"/>
      <c r="T1185" s="152">
        <v>45593</v>
      </c>
      <c r="U1185" s="152">
        <v>45611</v>
      </c>
      <c r="V1185" s="152"/>
      <c r="W1185" s="2">
        <f>VLOOKUP(Table1[[#This Row],[Status]],Auxiliar!$B$16:$D$24,3,0)*Table1[[#This Row],[Estimação (horas)]]</f>
        <v>0.5</v>
      </c>
      <c r="X1185" s="114"/>
    </row>
    <row r="1186" spans="2:24" ht="17.7" hidden="1" customHeight="1" x14ac:dyDescent="0.25">
      <c r="B1186" s="39" t="s">
        <v>26</v>
      </c>
      <c r="C1186" s="39" t="s">
        <v>26</v>
      </c>
      <c r="D1186" s="2" t="s">
        <v>38</v>
      </c>
      <c r="E1186" s="39" t="s">
        <v>38</v>
      </c>
      <c r="F1186" s="39" t="s">
        <v>1966</v>
      </c>
      <c r="G1186" s="39" t="s">
        <v>391</v>
      </c>
      <c r="H1186" s="59" t="str">
        <f>Table1[[#This Row],[Tabela]]&amp;Table1[[#This Row],[Campo]]</f>
        <v>lt827_mthd_usd_instrmntambito</v>
      </c>
      <c r="I1186" s="2" t="s">
        <v>619</v>
      </c>
      <c r="J1186" s="45">
        <f>VLOOKUP(Table1[[#This Row],[Status]],Auxiliar!$B$16:$C$24,2,0)</f>
        <v>7</v>
      </c>
      <c r="K1186" s="45" t="s">
        <v>1253</v>
      </c>
      <c r="L1186" s="46" t="s">
        <v>1258</v>
      </c>
      <c r="M1186" s="21" t="s">
        <v>1259</v>
      </c>
      <c r="N1186" s="48">
        <v>45596</v>
      </c>
      <c r="O1186" s="21">
        <f>INDEX(Auxiliar!$D$5:$F$13,MATCH(Table1[[#This Row],[Tipologia_Testes]],Auxiliar!$B$5:$B$13,0),MATCH(Table1[[#This Row],[Complexidade]],Auxiliar!$D$4:$F$4,0))</f>
        <v>2</v>
      </c>
      <c r="P1186" s="43"/>
      <c r="Q1186" s="152"/>
      <c r="R1186" s="152">
        <v>45593</v>
      </c>
      <c r="S1186" s="152"/>
      <c r="T1186" s="152">
        <v>45593</v>
      </c>
      <c r="U1186" s="152">
        <v>45611</v>
      </c>
      <c r="V1186" s="152"/>
      <c r="W1186" s="2">
        <f>VLOOKUP(Table1[[#This Row],[Status]],Auxiliar!$B$16:$D$24,3,0)*Table1[[#This Row],[Estimação (horas)]]</f>
        <v>0.5</v>
      </c>
      <c r="X1186" s="114"/>
    </row>
    <row r="1187" spans="2:24" ht="17.7" hidden="1" customHeight="1" x14ac:dyDescent="0.25">
      <c r="B1187" s="39" t="s">
        <v>26</v>
      </c>
      <c r="C1187" s="39" t="s">
        <v>26</v>
      </c>
      <c r="D1187" s="2" t="s">
        <v>38</v>
      </c>
      <c r="E1187" s="39" t="s">
        <v>38</v>
      </c>
      <c r="F1187" s="39" t="s">
        <v>1966</v>
      </c>
      <c r="G1187" s="39" t="s">
        <v>391</v>
      </c>
      <c r="H1187" s="59" t="str">
        <f>Table1[[#This Row],[Tabela]]&amp;Table1[[#This Row],[Campo]]</f>
        <v>lt827_mthd_usd_instrmntambito</v>
      </c>
      <c r="I1187" s="2" t="s">
        <v>619</v>
      </c>
      <c r="J1187" s="45">
        <f>VLOOKUP(Table1[[#This Row],[Status]],Auxiliar!$B$16:$C$24,2,0)</f>
        <v>7</v>
      </c>
      <c r="K1187" s="45" t="s">
        <v>1255</v>
      </c>
      <c r="L1187" s="46" t="s">
        <v>1258</v>
      </c>
      <c r="M1187" s="21" t="s">
        <v>1259</v>
      </c>
      <c r="N1187" s="48">
        <v>45596</v>
      </c>
      <c r="O1187" s="21">
        <f>INDEX(Auxiliar!$D$5:$F$13,MATCH(Table1[[#This Row],[Tipologia_Testes]],Auxiliar!$B$5:$B$13,0),MATCH(Table1[[#This Row],[Complexidade]],Auxiliar!$D$4:$F$4,0))</f>
        <v>0.1</v>
      </c>
      <c r="P1187" s="43"/>
      <c r="Q1187" s="152"/>
      <c r="R1187" s="152">
        <v>45593</v>
      </c>
      <c r="S1187" s="152"/>
      <c r="T1187" s="152">
        <v>45593</v>
      </c>
      <c r="U1187" s="152">
        <v>45611</v>
      </c>
      <c r="V1187" s="152"/>
      <c r="W1187" s="2">
        <f>VLOOKUP(Table1[[#This Row],[Status]],Auxiliar!$B$16:$D$24,3,0)*Table1[[#This Row],[Estimação (horas)]]</f>
        <v>2.5000000000000001E-2</v>
      </c>
      <c r="X1187" s="114"/>
    </row>
    <row r="1188" spans="2:24" ht="17.7" hidden="1" customHeight="1" x14ac:dyDescent="0.25">
      <c r="B1188" s="39" t="s">
        <v>26</v>
      </c>
      <c r="C1188" s="39" t="s">
        <v>26</v>
      </c>
      <c r="D1188" s="2" t="s">
        <v>38</v>
      </c>
      <c r="E1188" s="40" t="s">
        <v>38</v>
      </c>
      <c r="F1188" s="40" t="s">
        <v>1966</v>
      </c>
      <c r="G1188" s="40" t="s">
        <v>208</v>
      </c>
      <c r="H1188" s="60" t="str">
        <f>Table1[[#This Row],[Tabela]]&amp;Table1[[#This Row],[Campo]]</f>
        <v>lt827_mthd_usd_instrmntref_date</v>
      </c>
      <c r="I1188" s="2" t="s">
        <v>619</v>
      </c>
      <c r="J1188" s="45">
        <f>VLOOKUP(Table1[[#This Row],[Status]],Auxiliar!$B$16:$C$24,2,0)</f>
        <v>7</v>
      </c>
      <c r="K1188" s="45" t="s">
        <v>1252</v>
      </c>
      <c r="L1188" s="46" t="s">
        <v>1258</v>
      </c>
      <c r="M1188" s="21" t="s">
        <v>1259</v>
      </c>
      <c r="N1188" s="48">
        <v>45596</v>
      </c>
      <c r="O1188" s="21">
        <f>INDEX(Auxiliar!$D$5:$F$13,MATCH(Table1[[#This Row],[Tipologia_Testes]],Auxiliar!$B$5:$B$13,0),MATCH(Table1[[#This Row],[Complexidade]],Auxiliar!$D$4:$F$4,0))</f>
        <v>2</v>
      </c>
      <c r="P1188" s="43"/>
      <c r="Q1188" s="152"/>
      <c r="R1188" s="152">
        <v>45593</v>
      </c>
      <c r="S1188" s="152"/>
      <c r="T1188" s="152">
        <v>45593</v>
      </c>
      <c r="U1188" s="152">
        <v>45611</v>
      </c>
      <c r="V1188" s="152"/>
      <c r="W1188" s="2">
        <f>VLOOKUP(Table1[[#This Row],[Status]],Auxiliar!$B$16:$D$24,3,0)*Table1[[#This Row],[Estimação (horas)]]</f>
        <v>0.5</v>
      </c>
      <c r="X1188" s="114"/>
    </row>
    <row r="1189" spans="2:24" ht="17.7" hidden="1" customHeight="1" x14ac:dyDescent="0.25">
      <c r="B1189" s="39" t="s">
        <v>26</v>
      </c>
      <c r="C1189" s="39" t="s">
        <v>26</v>
      </c>
      <c r="D1189" s="2" t="s">
        <v>38</v>
      </c>
      <c r="E1189" s="39" t="s">
        <v>38</v>
      </c>
      <c r="F1189" s="39" t="s">
        <v>1966</v>
      </c>
      <c r="G1189" s="39" t="s">
        <v>208</v>
      </c>
      <c r="H1189" s="59" t="str">
        <f>Table1[[#This Row],[Tabela]]&amp;Table1[[#This Row],[Campo]]</f>
        <v>lt827_mthd_usd_instrmntref_date</v>
      </c>
      <c r="I1189" s="2" t="s">
        <v>619</v>
      </c>
      <c r="J1189" s="45">
        <f>VLOOKUP(Table1[[#This Row],[Status]],Auxiliar!$B$16:$C$24,2,0)</f>
        <v>7</v>
      </c>
      <c r="K1189" s="45" t="s">
        <v>1253</v>
      </c>
      <c r="L1189" s="46" t="s">
        <v>1258</v>
      </c>
      <c r="M1189" s="21" t="s">
        <v>1259</v>
      </c>
      <c r="N1189" s="48">
        <v>45596</v>
      </c>
      <c r="O1189" s="21">
        <f>INDEX(Auxiliar!$D$5:$F$13,MATCH(Table1[[#This Row],[Tipologia_Testes]],Auxiliar!$B$5:$B$13,0),MATCH(Table1[[#This Row],[Complexidade]],Auxiliar!$D$4:$F$4,0))</f>
        <v>2</v>
      </c>
      <c r="P1189" s="43"/>
      <c r="Q1189" s="152"/>
      <c r="R1189" s="152">
        <v>45593</v>
      </c>
      <c r="S1189" s="152"/>
      <c r="T1189" s="152">
        <v>45593</v>
      </c>
      <c r="U1189" s="152">
        <v>45611</v>
      </c>
      <c r="V1189" s="152"/>
      <c r="W1189" s="2">
        <f>VLOOKUP(Table1[[#This Row],[Status]],Auxiliar!$B$16:$D$24,3,0)*Table1[[#This Row],[Estimação (horas)]]</f>
        <v>0.5</v>
      </c>
      <c r="X1189" s="114"/>
    </row>
    <row r="1190" spans="2:24" ht="17.7" hidden="1" customHeight="1" x14ac:dyDescent="0.25">
      <c r="B1190" s="39" t="s">
        <v>26</v>
      </c>
      <c r="C1190" s="39" t="s">
        <v>26</v>
      </c>
      <c r="D1190" s="2" t="s">
        <v>38</v>
      </c>
      <c r="E1190" s="39" t="s">
        <v>38</v>
      </c>
      <c r="F1190" s="39" t="s">
        <v>1966</v>
      </c>
      <c r="G1190" s="39" t="s">
        <v>208</v>
      </c>
      <c r="H1190" s="59" t="str">
        <f>Table1[[#This Row],[Tabela]]&amp;Table1[[#This Row],[Campo]]</f>
        <v>lt827_mthd_usd_instrmntref_date</v>
      </c>
      <c r="I1190" s="2" t="s">
        <v>619</v>
      </c>
      <c r="J1190" s="45">
        <f>VLOOKUP(Table1[[#This Row],[Status]],Auxiliar!$B$16:$C$24,2,0)</f>
        <v>7</v>
      </c>
      <c r="K1190" s="45" t="s">
        <v>1255</v>
      </c>
      <c r="L1190" s="46" t="s">
        <v>1258</v>
      </c>
      <c r="M1190" s="21" t="s">
        <v>1259</v>
      </c>
      <c r="N1190" s="48">
        <v>45596</v>
      </c>
      <c r="O1190" s="21">
        <f>INDEX(Auxiliar!$D$5:$F$13,MATCH(Table1[[#This Row],[Tipologia_Testes]],Auxiliar!$B$5:$B$13,0),MATCH(Table1[[#This Row],[Complexidade]],Auxiliar!$D$4:$F$4,0))</f>
        <v>0.1</v>
      </c>
      <c r="P1190" s="43"/>
      <c r="Q1190" s="152"/>
      <c r="R1190" s="152">
        <v>45593</v>
      </c>
      <c r="S1190" s="152"/>
      <c r="T1190" s="152">
        <v>45593</v>
      </c>
      <c r="U1190" s="152">
        <v>45611</v>
      </c>
      <c r="V1190" s="152"/>
      <c r="W1190" s="2">
        <f>VLOOKUP(Table1[[#This Row],[Status]],Auxiliar!$B$16:$D$24,3,0)*Table1[[#This Row],[Estimação (horas)]]</f>
        <v>2.5000000000000001E-2</v>
      </c>
      <c r="X1190" s="114"/>
    </row>
    <row r="1191" spans="2:24" ht="17.7" hidden="1" customHeight="1" x14ac:dyDescent="0.25">
      <c r="B1191" s="39" t="s">
        <v>26</v>
      </c>
      <c r="C1191" s="39" t="s">
        <v>26</v>
      </c>
      <c r="D1191" s="2" t="s">
        <v>38</v>
      </c>
      <c r="E1191" s="40" t="s">
        <v>38</v>
      </c>
      <c r="F1191" s="40" t="s">
        <v>1966</v>
      </c>
      <c r="G1191" s="40" t="s">
        <v>211</v>
      </c>
      <c r="H1191" s="60" t="str">
        <f>Table1[[#This Row],[Tabela]]&amp;Table1[[#This Row],[Campo]]</f>
        <v>lt827_mthd_usd_instrmntordem</v>
      </c>
      <c r="I1191" s="2" t="s">
        <v>619</v>
      </c>
      <c r="J1191" s="45">
        <f>VLOOKUP(Table1[[#This Row],[Status]],Auxiliar!$B$16:$C$24,2,0)</f>
        <v>7</v>
      </c>
      <c r="K1191" s="45" t="s">
        <v>1252</v>
      </c>
      <c r="L1191" s="46" t="s">
        <v>1258</v>
      </c>
      <c r="M1191" s="21" t="s">
        <v>1259</v>
      </c>
      <c r="N1191" s="48">
        <v>45596</v>
      </c>
      <c r="O1191" s="21">
        <f>INDEX(Auxiliar!$D$5:$F$13,MATCH(Table1[[#This Row],[Tipologia_Testes]],Auxiliar!$B$5:$B$13,0),MATCH(Table1[[#This Row],[Complexidade]],Auxiliar!$D$4:$F$4,0))</f>
        <v>2</v>
      </c>
      <c r="P1191" s="43"/>
      <c r="Q1191" s="152"/>
      <c r="R1191" s="152">
        <v>45593</v>
      </c>
      <c r="S1191" s="152"/>
      <c r="T1191" s="152">
        <v>45593</v>
      </c>
      <c r="U1191" s="152">
        <v>45611</v>
      </c>
      <c r="V1191" s="152"/>
      <c r="W1191" s="2">
        <f>VLOOKUP(Table1[[#This Row],[Status]],Auxiliar!$B$16:$D$24,3,0)*Table1[[#This Row],[Estimação (horas)]]</f>
        <v>0.5</v>
      </c>
      <c r="X1191" s="114"/>
    </row>
    <row r="1192" spans="2:24" ht="17.7" hidden="1" customHeight="1" x14ac:dyDescent="0.25">
      <c r="B1192" s="39" t="s">
        <v>26</v>
      </c>
      <c r="C1192" s="39" t="s">
        <v>26</v>
      </c>
      <c r="D1192" s="2" t="s">
        <v>38</v>
      </c>
      <c r="E1192" s="39" t="s">
        <v>38</v>
      </c>
      <c r="F1192" s="39" t="s">
        <v>1966</v>
      </c>
      <c r="G1192" s="39" t="s">
        <v>211</v>
      </c>
      <c r="H1192" s="59" t="str">
        <f>Table1[[#This Row],[Tabela]]&amp;Table1[[#This Row],[Campo]]</f>
        <v>lt827_mthd_usd_instrmntordem</v>
      </c>
      <c r="I1192" s="2" t="s">
        <v>619</v>
      </c>
      <c r="J1192" s="45">
        <f>VLOOKUP(Table1[[#This Row],[Status]],Auxiliar!$B$16:$C$24,2,0)</f>
        <v>7</v>
      </c>
      <c r="K1192" s="45" t="s">
        <v>1253</v>
      </c>
      <c r="L1192" s="46" t="s">
        <v>1258</v>
      </c>
      <c r="M1192" s="21" t="s">
        <v>1259</v>
      </c>
      <c r="N1192" s="48">
        <v>45596</v>
      </c>
      <c r="O1192" s="21">
        <f>INDEX(Auxiliar!$D$5:$F$13,MATCH(Table1[[#This Row],[Tipologia_Testes]],Auxiliar!$B$5:$B$13,0),MATCH(Table1[[#This Row],[Complexidade]],Auxiliar!$D$4:$F$4,0))</f>
        <v>2</v>
      </c>
      <c r="P1192" s="43"/>
      <c r="Q1192" s="152"/>
      <c r="R1192" s="152">
        <v>45593</v>
      </c>
      <c r="S1192" s="152"/>
      <c r="T1192" s="152">
        <v>45593</v>
      </c>
      <c r="U1192" s="152">
        <v>45611</v>
      </c>
      <c r="V1192" s="152"/>
      <c r="W1192" s="2">
        <f>VLOOKUP(Table1[[#This Row],[Status]],Auxiliar!$B$16:$D$24,3,0)*Table1[[#This Row],[Estimação (horas)]]</f>
        <v>0.5</v>
      </c>
      <c r="X1192" s="114"/>
    </row>
    <row r="1193" spans="2:24" ht="17.7" hidden="1" customHeight="1" x14ac:dyDescent="0.25">
      <c r="B1193" s="39" t="s">
        <v>26</v>
      </c>
      <c r="C1193" s="39" t="s">
        <v>26</v>
      </c>
      <c r="D1193" s="2" t="s">
        <v>38</v>
      </c>
      <c r="E1193" s="39" t="s">
        <v>38</v>
      </c>
      <c r="F1193" s="39" t="s">
        <v>1966</v>
      </c>
      <c r="G1193" s="39" t="s">
        <v>211</v>
      </c>
      <c r="H1193" s="59" t="str">
        <f>Table1[[#This Row],[Tabela]]&amp;Table1[[#This Row],[Campo]]</f>
        <v>lt827_mthd_usd_instrmntordem</v>
      </c>
      <c r="I1193" s="2" t="s">
        <v>619</v>
      </c>
      <c r="J1193" s="45">
        <f>VLOOKUP(Table1[[#This Row],[Status]],Auxiliar!$B$16:$C$24,2,0)</f>
        <v>7</v>
      </c>
      <c r="K1193" s="45" t="s">
        <v>1255</v>
      </c>
      <c r="L1193" s="46" t="s">
        <v>1258</v>
      </c>
      <c r="M1193" s="21" t="s">
        <v>1259</v>
      </c>
      <c r="N1193" s="48">
        <v>45596</v>
      </c>
      <c r="O1193" s="21">
        <f>INDEX(Auxiliar!$D$5:$F$13,MATCH(Table1[[#This Row],[Tipologia_Testes]],Auxiliar!$B$5:$B$13,0),MATCH(Table1[[#This Row],[Complexidade]],Auxiliar!$D$4:$F$4,0))</f>
        <v>0.1</v>
      </c>
      <c r="P1193" s="43"/>
      <c r="Q1193" s="152"/>
      <c r="R1193" s="152">
        <v>45593</v>
      </c>
      <c r="S1193" s="152"/>
      <c r="T1193" s="152">
        <v>45593</v>
      </c>
      <c r="U1193" s="152">
        <v>45611</v>
      </c>
      <c r="V1193" s="152"/>
      <c r="W1193" s="2">
        <f>VLOOKUP(Table1[[#This Row],[Status]],Auxiliar!$B$16:$D$24,3,0)*Table1[[#This Row],[Estimação (horas)]]</f>
        <v>2.5000000000000001E-2</v>
      </c>
      <c r="X1193" s="114"/>
    </row>
    <row r="1194" spans="2:24" ht="17.7" hidden="1" customHeight="1" x14ac:dyDescent="0.25">
      <c r="B1194" s="39" t="s">
        <v>26</v>
      </c>
      <c r="C1194" s="39" t="s">
        <v>26</v>
      </c>
      <c r="D1194" s="2" t="s">
        <v>38</v>
      </c>
      <c r="E1194" s="40" t="s">
        <v>38</v>
      </c>
      <c r="F1194" s="40" t="s">
        <v>1966</v>
      </c>
      <c r="G1194" s="40" t="s">
        <v>392</v>
      </c>
      <c r="H1194" s="60" t="str">
        <f>Table1[[#This Row],[Tabela]]&amp;Table1[[#This Row],[Campo]]</f>
        <v>lt827_mthd_usd_instrmnttabela</v>
      </c>
      <c r="I1194" s="2" t="s">
        <v>619</v>
      </c>
      <c r="J1194" s="45">
        <f>VLOOKUP(Table1[[#This Row],[Status]],Auxiliar!$B$16:$C$24,2,0)</f>
        <v>7</v>
      </c>
      <c r="K1194" s="45" t="s">
        <v>1252</v>
      </c>
      <c r="L1194" s="46" t="s">
        <v>1258</v>
      </c>
      <c r="M1194" s="21" t="s">
        <v>1259</v>
      </c>
      <c r="N1194" s="48">
        <v>45596</v>
      </c>
      <c r="O1194" s="21">
        <f>INDEX(Auxiliar!$D$5:$F$13,MATCH(Table1[[#This Row],[Tipologia_Testes]],Auxiliar!$B$5:$B$13,0),MATCH(Table1[[#This Row],[Complexidade]],Auxiliar!$D$4:$F$4,0))</f>
        <v>2</v>
      </c>
      <c r="P1194" s="43"/>
      <c r="Q1194" s="152"/>
      <c r="R1194" s="152">
        <v>45593</v>
      </c>
      <c r="S1194" s="152"/>
      <c r="T1194" s="152">
        <v>45593</v>
      </c>
      <c r="U1194" s="152">
        <v>45611</v>
      </c>
      <c r="V1194" s="152"/>
      <c r="W1194" s="2">
        <f>VLOOKUP(Table1[[#This Row],[Status]],Auxiliar!$B$16:$D$24,3,0)*Table1[[#This Row],[Estimação (horas)]]</f>
        <v>0.5</v>
      </c>
      <c r="X1194" s="114"/>
    </row>
    <row r="1195" spans="2:24" ht="17.7" hidden="1" customHeight="1" x14ac:dyDescent="0.25">
      <c r="B1195" s="39" t="s">
        <v>26</v>
      </c>
      <c r="C1195" s="39" t="s">
        <v>26</v>
      </c>
      <c r="D1195" s="2" t="s">
        <v>38</v>
      </c>
      <c r="E1195" s="39" t="s">
        <v>38</v>
      </c>
      <c r="F1195" s="39" t="s">
        <v>1966</v>
      </c>
      <c r="G1195" s="39" t="s">
        <v>392</v>
      </c>
      <c r="H1195" s="59" t="str">
        <f>Table1[[#This Row],[Tabela]]&amp;Table1[[#This Row],[Campo]]</f>
        <v>lt827_mthd_usd_instrmnttabela</v>
      </c>
      <c r="I1195" s="2" t="s">
        <v>619</v>
      </c>
      <c r="J1195" s="45">
        <f>VLOOKUP(Table1[[#This Row],[Status]],Auxiliar!$B$16:$C$24,2,0)</f>
        <v>7</v>
      </c>
      <c r="K1195" s="45" t="s">
        <v>1253</v>
      </c>
      <c r="L1195" s="46" t="s">
        <v>1258</v>
      </c>
      <c r="M1195" s="21" t="s">
        <v>1259</v>
      </c>
      <c r="N1195" s="48">
        <v>45596</v>
      </c>
      <c r="O1195" s="21">
        <f>INDEX(Auxiliar!$D$5:$F$13,MATCH(Table1[[#This Row],[Tipologia_Testes]],Auxiliar!$B$5:$B$13,0),MATCH(Table1[[#This Row],[Complexidade]],Auxiliar!$D$4:$F$4,0))</f>
        <v>2</v>
      </c>
      <c r="P1195" s="43"/>
      <c r="Q1195" s="152"/>
      <c r="R1195" s="152">
        <v>45593</v>
      </c>
      <c r="S1195" s="152"/>
      <c r="T1195" s="152">
        <v>45593</v>
      </c>
      <c r="U1195" s="152">
        <v>45611</v>
      </c>
      <c r="V1195" s="152"/>
      <c r="W1195" s="2">
        <f>VLOOKUP(Table1[[#This Row],[Status]],Auxiliar!$B$16:$D$24,3,0)*Table1[[#This Row],[Estimação (horas)]]</f>
        <v>0.5</v>
      </c>
      <c r="X1195" s="114"/>
    </row>
    <row r="1196" spans="2:24" ht="17.7" hidden="1" customHeight="1" x14ac:dyDescent="0.25">
      <c r="B1196" s="39" t="s">
        <v>26</v>
      </c>
      <c r="C1196" s="39" t="s">
        <v>26</v>
      </c>
      <c r="D1196" s="2" t="s">
        <v>38</v>
      </c>
      <c r="E1196" s="39" t="s">
        <v>38</v>
      </c>
      <c r="F1196" s="39" t="s">
        <v>1966</v>
      </c>
      <c r="G1196" s="39" t="s">
        <v>392</v>
      </c>
      <c r="H1196" s="59" t="str">
        <f>Table1[[#This Row],[Tabela]]&amp;Table1[[#This Row],[Campo]]</f>
        <v>lt827_mthd_usd_instrmnttabela</v>
      </c>
      <c r="I1196" s="2" t="s">
        <v>619</v>
      </c>
      <c r="J1196" s="45">
        <f>VLOOKUP(Table1[[#This Row],[Status]],Auxiliar!$B$16:$C$24,2,0)</f>
        <v>7</v>
      </c>
      <c r="K1196" s="45" t="s">
        <v>1255</v>
      </c>
      <c r="L1196" s="46" t="s">
        <v>1258</v>
      </c>
      <c r="M1196" s="21" t="s">
        <v>1259</v>
      </c>
      <c r="N1196" s="48">
        <v>45596</v>
      </c>
      <c r="O1196" s="21">
        <f>INDEX(Auxiliar!$D$5:$F$13,MATCH(Table1[[#This Row],[Tipologia_Testes]],Auxiliar!$B$5:$B$13,0),MATCH(Table1[[#This Row],[Complexidade]],Auxiliar!$D$4:$F$4,0))</f>
        <v>0.1</v>
      </c>
      <c r="P1196" s="43"/>
      <c r="Q1196" s="152"/>
      <c r="R1196" s="152">
        <v>45593</v>
      </c>
      <c r="S1196" s="152"/>
      <c r="T1196" s="152">
        <v>45593</v>
      </c>
      <c r="U1196" s="152">
        <v>45611</v>
      </c>
      <c r="V1196" s="152"/>
      <c r="W1196" s="2">
        <f>VLOOKUP(Table1[[#This Row],[Status]],Auxiliar!$B$16:$D$24,3,0)*Table1[[#This Row],[Estimação (horas)]]</f>
        <v>2.5000000000000001E-2</v>
      </c>
      <c r="X1196" s="114"/>
    </row>
    <row r="1197" spans="2:24" ht="17.7" hidden="1" customHeight="1" x14ac:dyDescent="0.25">
      <c r="B1197" s="39" t="s">
        <v>26</v>
      </c>
      <c r="C1197" s="39" t="s">
        <v>26</v>
      </c>
      <c r="D1197" s="2" t="s">
        <v>38</v>
      </c>
      <c r="E1197" s="40" t="s">
        <v>38</v>
      </c>
      <c r="F1197" s="40" t="s">
        <v>1966</v>
      </c>
      <c r="G1197" s="38" t="s">
        <v>320</v>
      </c>
      <c r="H1197" s="60" t="str">
        <f>Table1[[#This Row],[Tabela]]&amp;Table1[[#This Row],[Campo]]</f>
        <v>lt827_mthd_usd_instrmntorigem_scp1_emss</v>
      </c>
      <c r="I1197" s="2" t="s">
        <v>619</v>
      </c>
      <c r="J1197" s="45">
        <f>VLOOKUP(Table1[[#This Row],[Status]],Auxiliar!$B$16:$C$24,2,0)</f>
        <v>7</v>
      </c>
      <c r="K1197" s="45" t="s">
        <v>1252</v>
      </c>
      <c r="L1197" s="46" t="s">
        <v>1258</v>
      </c>
      <c r="M1197" s="21" t="s">
        <v>1259</v>
      </c>
      <c r="N1197" s="48">
        <v>45596</v>
      </c>
      <c r="O1197" s="21">
        <f>INDEX(Auxiliar!$D$5:$F$13,MATCH(Table1[[#This Row],[Tipologia_Testes]],Auxiliar!$B$5:$B$13,0),MATCH(Table1[[#This Row],[Complexidade]],Auxiliar!$D$4:$F$4,0))</f>
        <v>2</v>
      </c>
      <c r="P1197" s="43"/>
      <c r="Q1197" s="152"/>
      <c r="R1197" s="152">
        <v>45593</v>
      </c>
      <c r="S1197" s="152"/>
      <c r="T1197" s="152">
        <v>45593</v>
      </c>
      <c r="U1197" s="152">
        <v>45611</v>
      </c>
      <c r="V1197" s="152"/>
      <c r="W1197" s="2">
        <f>VLOOKUP(Table1[[#This Row],[Status]],Auxiliar!$B$16:$D$24,3,0)*Table1[[#This Row],[Estimação (horas)]]</f>
        <v>0.5</v>
      </c>
      <c r="X1197" s="114"/>
    </row>
    <row r="1198" spans="2:24" ht="17.7" hidden="1" customHeight="1" x14ac:dyDescent="0.25">
      <c r="B1198" s="39" t="s">
        <v>26</v>
      </c>
      <c r="C1198" s="39" t="s">
        <v>26</v>
      </c>
      <c r="D1198" s="2" t="s">
        <v>38</v>
      </c>
      <c r="E1198" s="39" t="s">
        <v>38</v>
      </c>
      <c r="F1198" s="39" t="s">
        <v>1966</v>
      </c>
      <c r="G1198" s="39" t="s">
        <v>320</v>
      </c>
      <c r="H1198" s="59" t="str">
        <f>Table1[[#This Row],[Tabela]]&amp;Table1[[#This Row],[Campo]]</f>
        <v>lt827_mthd_usd_instrmntorigem_scp1_emss</v>
      </c>
      <c r="I1198" s="2" t="s">
        <v>619</v>
      </c>
      <c r="J1198" s="45">
        <f>VLOOKUP(Table1[[#This Row],[Status]],Auxiliar!$B$16:$C$24,2,0)</f>
        <v>7</v>
      </c>
      <c r="K1198" s="45" t="s">
        <v>1253</v>
      </c>
      <c r="L1198" s="46" t="s">
        <v>1258</v>
      </c>
      <c r="M1198" s="21" t="s">
        <v>1259</v>
      </c>
      <c r="N1198" s="48">
        <v>45596</v>
      </c>
      <c r="O1198" s="21">
        <f>INDEX(Auxiliar!$D$5:$F$13,MATCH(Table1[[#This Row],[Tipologia_Testes]],Auxiliar!$B$5:$B$13,0),MATCH(Table1[[#This Row],[Complexidade]],Auxiliar!$D$4:$F$4,0))</f>
        <v>2</v>
      </c>
      <c r="P1198" s="43"/>
      <c r="Q1198" s="152"/>
      <c r="R1198" s="152">
        <v>45593</v>
      </c>
      <c r="S1198" s="152"/>
      <c r="T1198" s="152">
        <v>45593</v>
      </c>
      <c r="U1198" s="152">
        <v>45611</v>
      </c>
      <c r="V1198" s="152"/>
      <c r="W1198" s="2">
        <f>VLOOKUP(Table1[[#This Row],[Status]],Auxiliar!$B$16:$D$24,3,0)*Table1[[#This Row],[Estimação (horas)]]</f>
        <v>0.5</v>
      </c>
      <c r="X1198" s="114"/>
    </row>
    <row r="1199" spans="2:24" ht="17.7" hidden="1" customHeight="1" x14ac:dyDescent="0.25">
      <c r="B1199" s="39" t="s">
        <v>26</v>
      </c>
      <c r="C1199" s="39" t="s">
        <v>26</v>
      </c>
      <c r="D1199" s="2" t="s">
        <v>38</v>
      </c>
      <c r="E1199" s="39" t="s">
        <v>38</v>
      </c>
      <c r="F1199" s="39" t="s">
        <v>1966</v>
      </c>
      <c r="G1199" s="39" t="s">
        <v>320</v>
      </c>
      <c r="H1199" s="59" t="str">
        <f>Table1[[#This Row],[Tabela]]&amp;Table1[[#This Row],[Campo]]</f>
        <v>lt827_mthd_usd_instrmntorigem_scp1_emss</v>
      </c>
      <c r="I1199" s="2" t="s">
        <v>619</v>
      </c>
      <c r="J1199" s="45">
        <f>VLOOKUP(Table1[[#This Row],[Status]],Auxiliar!$B$16:$C$24,2,0)</f>
        <v>7</v>
      </c>
      <c r="K1199" s="45" t="s">
        <v>1255</v>
      </c>
      <c r="L1199" s="46" t="s">
        <v>1258</v>
      </c>
      <c r="M1199" s="21" t="s">
        <v>1259</v>
      </c>
      <c r="N1199" s="48">
        <v>45596</v>
      </c>
      <c r="O1199" s="21">
        <f>INDEX(Auxiliar!$D$5:$F$13,MATCH(Table1[[#This Row],[Tipologia_Testes]],Auxiliar!$B$5:$B$13,0),MATCH(Table1[[#This Row],[Complexidade]],Auxiliar!$D$4:$F$4,0))</f>
        <v>0.1</v>
      </c>
      <c r="P1199" s="43"/>
      <c r="Q1199" s="152"/>
      <c r="R1199" s="152">
        <v>45593</v>
      </c>
      <c r="S1199" s="152"/>
      <c r="T1199" s="152">
        <v>45593</v>
      </c>
      <c r="U1199" s="152">
        <v>45611</v>
      </c>
      <c r="V1199" s="152"/>
      <c r="W1199" s="2">
        <f>VLOOKUP(Table1[[#This Row],[Status]],Auxiliar!$B$16:$D$24,3,0)*Table1[[#This Row],[Estimação (horas)]]</f>
        <v>2.5000000000000001E-2</v>
      </c>
      <c r="X1199" s="114"/>
    </row>
    <row r="1200" spans="2:24" ht="17.7" hidden="1" customHeight="1" x14ac:dyDescent="0.25">
      <c r="B1200" s="39" t="s">
        <v>26</v>
      </c>
      <c r="C1200" s="39" t="s">
        <v>26</v>
      </c>
      <c r="D1200" s="2" t="s">
        <v>38</v>
      </c>
      <c r="E1200" s="40" t="s">
        <v>38</v>
      </c>
      <c r="F1200" s="40" t="s">
        <v>1966</v>
      </c>
      <c r="G1200" s="38" t="s">
        <v>321</v>
      </c>
      <c r="H1200" s="60" t="str">
        <f>Table1[[#This Row],[Tabela]]&amp;Table1[[#This Row],[Campo]]</f>
        <v>lt827_mthd_usd_instrmntorigem_scp2_emss</v>
      </c>
      <c r="I1200" s="2" t="s">
        <v>619</v>
      </c>
      <c r="J1200" s="45">
        <f>VLOOKUP(Table1[[#This Row],[Status]],Auxiliar!$B$16:$C$24,2,0)</f>
        <v>7</v>
      </c>
      <c r="K1200" s="45" t="s">
        <v>1252</v>
      </c>
      <c r="L1200" s="46" t="s">
        <v>1258</v>
      </c>
      <c r="M1200" s="21" t="s">
        <v>1259</v>
      </c>
      <c r="N1200" s="48">
        <v>45596</v>
      </c>
      <c r="O1200" s="21">
        <f>INDEX(Auxiliar!$D$5:$F$13,MATCH(Table1[[#This Row],[Tipologia_Testes]],Auxiliar!$B$5:$B$13,0),MATCH(Table1[[#This Row],[Complexidade]],Auxiliar!$D$4:$F$4,0))</f>
        <v>2</v>
      </c>
      <c r="P1200" s="43"/>
      <c r="Q1200" s="152"/>
      <c r="R1200" s="152">
        <v>45593</v>
      </c>
      <c r="S1200" s="152"/>
      <c r="T1200" s="152">
        <v>45593</v>
      </c>
      <c r="U1200" s="152">
        <v>45611</v>
      </c>
      <c r="V1200" s="152"/>
      <c r="W1200" s="2">
        <f>VLOOKUP(Table1[[#This Row],[Status]],Auxiliar!$B$16:$D$24,3,0)*Table1[[#This Row],[Estimação (horas)]]</f>
        <v>0.5</v>
      </c>
      <c r="X1200" s="114"/>
    </row>
    <row r="1201" spans="2:24" ht="17.7" hidden="1" customHeight="1" x14ac:dyDescent="0.25">
      <c r="B1201" s="39" t="s">
        <v>26</v>
      </c>
      <c r="C1201" s="39" t="s">
        <v>26</v>
      </c>
      <c r="D1201" s="2" t="s">
        <v>38</v>
      </c>
      <c r="E1201" s="39" t="s">
        <v>38</v>
      </c>
      <c r="F1201" s="39" t="s">
        <v>1966</v>
      </c>
      <c r="G1201" s="39" t="s">
        <v>321</v>
      </c>
      <c r="H1201" s="59" t="str">
        <f>Table1[[#This Row],[Tabela]]&amp;Table1[[#This Row],[Campo]]</f>
        <v>lt827_mthd_usd_instrmntorigem_scp2_emss</v>
      </c>
      <c r="I1201" s="2" t="s">
        <v>619</v>
      </c>
      <c r="J1201" s="45">
        <f>VLOOKUP(Table1[[#This Row],[Status]],Auxiliar!$B$16:$C$24,2,0)</f>
        <v>7</v>
      </c>
      <c r="K1201" s="45" t="s">
        <v>1253</v>
      </c>
      <c r="L1201" s="46" t="s">
        <v>1258</v>
      </c>
      <c r="M1201" s="21" t="s">
        <v>1259</v>
      </c>
      <c r="N1201" s="48">
        <v>45596</v>
      </c>
      <c r="O1201" s="21">
        <f>INDEX(Auxiliar!$D$5:$F$13,MATCH(Table1[[#This Row],[Tipologia_Testes]],Auxiliar!$B$5:$B$13,0),MATCH(Table1[[#This Row],[Complexidade]],Auxiliar!$D$4:$F$4,0))</f>
        <v>2</v>
      </c>
      <c r="P1201" s="43"/>
      <c r="Q1201" s="152"/>
      <c r="R1201" s="152">
        <v>45593</v>
      </c>
      <c r="S1201" s="152"/>
      <c r="T1201" s="152">
        <v>45593</v>
      </c>
      <c r="U1201" s="152">
        <v>45611</v>
      </c>
      <c r="V1201" s="152"/>
      <c r="W1201" s="2">
        <f>VLOOKUP(Table1[[#This Row],[Status]],Auxiliar!$B$16:$D$24,3,0)*Table1[[#This Row],[Estimação (horas)]]</f>
        <v>0.5</v>
      </c>
      <c r="X1201" s="114"/>
    </row>
    <row r="1202" spans="2:24" ht="17.7" hidden="1" customHeight="1" x14ac:dyDescent="0.25">
      <c r="B1202" s="39" t="s">
        <v>26</v>
      </c>
      <c r="C1202" s="39" t="s">
        <v>26</v>
      </c>
      <c r="D1202" s="2" t="s">
        <v>38</v>
      </c>
      <c r="E1202" s="39" t="s">
        <v>38</v>
      </c>
      <c r="F1202" s="39" t="s">
        <v>1966</v>
      </c>
      <c r="G1202" s="39" t="s">
        <v>321</v>
      </c>
      <c r="H1202" s="59" t="str">
        <f>Table1[[#This Row],[Tabela]]&amp;Table1[[#This Row],[Campo]]</f>
        <v>lt827_mthd_usd_instrmntorigem_scp2_emss</v>
      </c>
      <c r="I1202" s="2" t="s">
        <v>619</v>
      </c>
      <c r="J1202" s="45">
        <f>VLOOKUP(Table1[[#This Row],[Status]],Auxiliar!$B$16:$C$24,2,0)</f>
        <v>7</v>
      </c>
      <c r="K1202" s="45" t="s">
        <v>1255</v>
      </c>
      <c r="L1202" s="46" t="s">
        <v>1258</v>
      </c>
      <c r="M1202" s="21" t="s">
        <v>1259</v>
      </c>
      <c r="N1202" s="48">
        <v>45596</v>
      </c>
      <c r="O1202" s="21">
        <f>INDEX(Auxiliar!$D$5:$F$13,MATCH(Table1[[#This Row],[Tipologia_Testes]],Auxiliar!$B$5:$B$13,0),MATCH(Table1[[#This Row],[Complexidade]],Auxiliar!$D$4:$F$4,0))</f>
        <v>0.1</v>
      </c>
      <c r="P1202" s="43"/>
      <c r="Q1202" s="152"/>
      <c r="R1202" s="152">
        <v>45593</v>
      </c>
      <c r="S1202" s="152"/>
      <c r="T1202" s="152">
        <v>45593</v>
      </c>
      <c r="U1202" s="152">
        <v>45611</v>
      </c>
      <c r="V1202" s="152"/>
      <c r="W1202" s="2">
        <f>VLOOKUP(Table1[[#This Row],[Status]],Auxiliar!$B$16:$D$24,3,0)*Table1[[#This Row],[Estimação (horas)]]</f>
        <v>2.5000000000000001E-2</v>
      </c>
      <c r="X1202" s="114"/>
    </row>
    <row r="1203" spans="2:24" ht="17.7" hidden="1" customHeight="1" x14ac:dyDescent="0.25">
      <c r="B1203" s="39" t="s">
        <v>26</v>
      </c>
      <c r="C1203" s="39" t="s">
        <v>26</v>
      </c>
      <c r="D1203" s="2" t="s">
        <v>38</v>
      </c>
      <c r="E1203" s="40" t="s">
        <v>38</v>
      </c>
      <c r="F1203" s="40" t="s">
        <v>1966</v>
      </c>
      <c r="G1203" s="38" t="s">
        <v>322</v>
      </c>
      <c r="H1203" s="60" t="str">
        <f>Table1[[#This Row],[Tabela]]&amp;Table1[[#This Row],[Campo]]</f>
        <v>lt827_mthd_usd_instrmntorigem_scp3_emss</v>
      </c>
      <c r="I1203" s="2" t="s">
        <v>619</v>
      </c>
      <c r="J1203" s="45">
        <f>VLOOKUP(Table1[[#This Row],[Status]],Auxiliar!$B$16:$C$24,2,0)</f>
        <v>7</v>
      </c>
      <c r="K1203" s="45" t="s">
        <v>1252</v>
      </c>
      <c r="L1203" s="46" t="s">
        <v>1258</v>
      </c>
      <c r="M1203" s="21" t="s">
        <v>1259</v>
      </c>
      <c r="N1203" s="48">
        <v>45596</v>
      </c>
      <c r="O1203" s="21">
        <f>INDEX(Auxiliar!$D$5:$F$13,MATCH(Table1[[#This Row],[Tipologia_Testes]],Auxiliar!$B$5:$B$13,0),MATCH(Table1[[#This Row],[Complexidade]],Auxiliar!$D$4:$F$4,0))</f>
        <v>2</v>
      </c>
      <c r="P1203" s="43"/>
      <c r="Q1203" s="152"/>
      <c r="R1203" s="152">
        <v>45593</v>
      </c>
      <c r="S1203" s="152"/>
      <c r="T1203" s="152">
        <v>45593</v>
      </c>
      <c r="U1203" s="152">
        <v>45611</v>
      </c>
      <c r="V1203" s="152"/>
      <c r="W1203" s="2">
        <f>VLOOKUP(Table1[[#This Row],[Status]],Auxiliar!$B$16:$D$24,3,0)*Table1[[#This Row],[Estimação (horas)]]</f>
        <v>0.5</v>
      </c>
      <c r="X1203" s="114"/>
    </row>
    <row r="1204" spans="2:24" ht="17.7" hidden="1" customHeight="1" x14ac:dyDescent="0.25">
      <c r="B1204" s="39" t="s">
        <v>26</v>
      </c>
      <c r="C1204" s="39" t="s">
        <v>26</v>
      </c>
      <c r="D1204" s="2" t="s">
        <v>38</v>
      </c>
      <c r="E1204" s="39" t="s">
        <v>38</v>
      </c>
      <c r="F1204" s="39" t="s">
        <v>1966</v>
      </c>
      <c r="G1204" s="39" t="s">
        <v>322</v>
      </c>
      <c r="H1204" s="59" t="str">
        <f>Table1[[#This Row],[Tabela]]&amp;Table1[[#This Row],[Campo]]</f>
        <v>lt827_mthd_usd_instrmntorigem_scp3_emss</v>
      </c>
      <c r="I1204" s="2" t="s">
        <v>619</v>
      </c>
      <c r="J1204" s="45">
        <f>VLOOKUP(Table1[[#This Row],[Status]],Auxiliar!$B$16:$C$24,2,0)</f>
        <v>7</v>
      </c>
      <c r="K1204" s="45" t="s">
        <v>1253</v>
      </c>
      <c r="L1204" s="46" t="s">
        <v>1258</v>
      </c>
      <c r="M1204" s="21" t="s">
        <v>1259</v>
      </c>
      <c r="N1204" s="48">
        <v>45596</v>
      </c>
      <c r="O1204" s="21">
        <f>INDEX(Auxiliar!$D$5:$F$13,MATCH(Table1[[#This Row],[Tipologia_Testes]],Auxiliar!$B$5:$B$13,0),MATCH(Table1[[#This Row],[Complexidade]],Auxiliar!$D$4:$F$4,0))</f>
        <v>2</v>
      </c>
      <c r="P1204" s="43"/>
      <c r="Q1204" s="152"/>
      <c r="R1204" s="152">
        <v>45593</v>
      </c>
      <c r="S1204" s="152"/>
      <c r="T1204" s="152">
        <v>45593</v>
      </c>
      <c r="U1204" s="152">
        <v>45611</v>
      </c>
      <c r="V1204" s="152"/>
      <c r="W1204" s="2">
        <f>VLOOKUP(Table1[[#This Row],[Status]],Auxiliar!$B$16:$D$24,3,0)*Table1[[#This Row],[Estimação (horas)]]</f>
        <v>0.5</v>
      </c>
      <c r="X1204" s="114"/>
    </row>
    <row r="1205" spans="2:24" ht="17.7" hidden="1" customHeight="1" x14ac:dyDescent="0.25">
      <c r="B1205" s="39" t="s">
        <v>26</v>
      </c>
      <c r="C1205" s="39" t="s">
        <v>26</v>
      </c>
      <c r="D1205" s="2" t="s">
        <v>38</v>
      </c>
      <c r="E1205" s="39" t="s">
        <v>38</v>
      </c>
      <c r="F1205" s="39" t="s">
        <v>1966</v>
      </c>
      <c r="G1205" s="39" t="s">
        <v>322</v>
      </c>
      <c r="H1205" s="59" t="str">
        <f>Table1[[#This Row],[Tabela]]&amp;Table1[[#This Row],[Campo]]</f>
        <v>lt827_mthd_usd_instrmntorigem_scp3_emss</v>
      </c>
      <c r="I1205" s="2" t="s">
        <v>619</v>
      </c>
      <c r="J1205" s="45">
        <f>VLOOKUP(Table1[[#This Row],[Status]],Auxiliar!$B$16:$C$24,2,0)</f>
        <v>7</v>
      </c>
      <c r="K1205" s="45" t="s">
        <v>1255</v>
      </c>
      <c r="L1205" s="46" t="s">
        <v>1258</v>
      </c>
      <c r="M1205" s="21" t="s">
        <v>1259</v>
      </c>
      <c r="N1205" s="48">
        <v>45596</v>
      </c>
      <c r="O1205" s="21">
        <f>INDEX(Auxiliar!$D$5:$F$13,MATCH(Table1[[#This Row],[Tipologia_Testes]],Auxiliar!$B$5:$B$13,0),MATCH(Table1[[#This Row],[Complexidade]],Auxiliar!$D$4:$F$4,0))</f>
        <v>0.1</v>
      </c>
      <c r="P1205" s="43"/>
      <c r="Q1205" s="152"/>
      <c r="R1205" s="152">
        <v>45593</v>
      </c>
      <c r="S1205" s="152"/>
      <c r="T1205" s="152">
        <v>45593</v>
      </c>
      <c r="U1205" s="152">
        <v>45611</v>
      </c>
      <c r="V1205" s="152"/>
      <c r="W1205" s="2">
        <f>VLOOKUP(Table1[[#This Row],[Status]],Auxiliar!$B$16:$D$24,3,0)*Table1[[#This Row],[Estimação (horas)]]</f>
        <v>2.5000000000000001E-2</v>
      </c>
      <c r="X1205" s="114"/>
    </row>
    <row r="1206" spans="2:24" ht="17.7" hidden="1" customHeight="1" x14ac:dyDescent="0.25">
      <c r="B1206" s="39" t="s">
        <v>26</v>
      </c>
      <c r="C1206" s="39" t="s">
        <v>26</v>
      </c>
      <c r="D1206" s="2" t="s">
        <v>38</v>
      </c>
      <c r="E1206" s="40" t="s">
        <v>38</v>
      </c>
      <c r="F1206" s="40" t="s">
        <v>1966</v>
      </c>
      <c r="G1206" s="38" t="s">
        <v>386</v>
      </c>
      <c r="H1206" s="60" t="str">
        <f>Table1[[#This Row],[Tabela]]&amp;Table1[[#This Row],[Campo]]</f>
        <v>lt827_mthd_usd_instrmntmthd_usd_instrmnt_scp_1</v>
      </c>
      <c r="I1206" s="2" t="s">
        <v>619</v>
      </c>
      <c r="J1206" s="45">
        <f>VLOOKUP(Table1[[#This Row],[Status]],Auxiliar!$B$16:$C$24,2,0)</f>
        <v>7</v>
      </c>
      <c r="K1206" s="45" t="s">
        <v>1252</v>
      </c>
      <c r="L1206" s="46" t="s">
        <v>1258</v>
      </c>
      <c r="M1206" s="21" t="s">
        <v>1259</v>
      </c>
      <c r="N1206" s="48">
        <v>45596</v>
      </c>
      <c r="O1206" s="21">
        <f>INDEX(Auxiliar!$D$5:$F$13,MATCH(Table1[[#This Row],[Tipologia_Testes]],Auxiliar!$B$5:$B$13,0),MATCH(Table1[[#This Row],[Complexidade]],Auxiliar!$D$4:$F$4,0))</f>
        <v>2</v>
      </c>
      <c r="P1206" s="43"/>
      <c r="Q1206" s="152"/>
      <c r="R1206" s="152">
        <v>45593</v>
      </c>
      <c r="S1206" s="152"/>
      <c r="T1206" s="152">
        <v>45593</v>
      </c>
      <c r="U1206" s="152">
        <v>45611</v>
      </c>
      <c r="V1206" s="152"/>
      <c r="W1206" s="2">
        <f>VLOOKUP(Table1[[#This Row],[Status]],Auxiliar!$B$16:$D$24,3,0)*Table1[[#This Row],[Estimação (horas)]]</f>
        <v>0.5</v>
      </c>
      <c r="X1206" s="114"/>
    </row>
    <row r="1207" spans="2:24" ht="17.7" hidden="1" customHeight="1" x14ac:dyDescent="0.25">
      <c r="B1207" s="39" t="s">
        <v>26</v>
      </c>
      <c r="C1207" s="39" t="s">
        <v>26</v>
      </c>
      <c r="D1207" s="2" t="s">
        <v>38</v>
      </c>
      <c r="E1207" s="39" t="s">
        <v>38</v>
      </c>
      <c r="F1207" s="39" t="s">
        <v>1966</v>
      </c>
      <c r="G1207" s="39" t="s">
        <v>386</v>
      </c>
      <c r="H1207" s="59" t="str">
        <f>Table1[[#This Row],[Tabela]]&amp;Table1[[#This Row],[Campo]]</f>
        <v>lt827_mthd_usd_instrmntmthd_usd_instrmnt_scp_1</v>
      </c>
      <c r="I1207" s="2" t="s">
        <v>619</v>
      </c>
      <c r="J1207" s="45">
        <f>VLOOKUP(Table1[[#This Row],[Status]],Auxiliar!$B$16:$C$24,2,0)</f>
        <v>7</v>
      </c>
      <c r="K1207" s="45" t="s">
        <v>1253</v>
      </c>
      <c r="L1207" s="46" t="s">
        <v>1258</v>
      </c>
      <c r="M1207" s="21" t="s">
        <v>1259</v>
      </c>
      <c r="N1207" s="48">
        <v>45596</v>
      </c>
      <c r="O1207" s="21">
        <f>INDEX(Auxiliar!$D$5:$F$13,MATCH(Table1[[#This Row],[Tipologia_Testes]],Auxiliar!$B$5:$B$13,0),MATCH(Table1[[#This Row],[Complexidade]],Auxiliar!$D$4:$F$4,0))</f>
        <v>2</v>
      </c>
      <c r="P1207" s="43"/>
      <c r="Q1207" s="152"/>
      <c r="R1207" s="152">
        <v>45593</v>
      </c>
      <c r="S1207" s="152"/>
      <c r="T1207" s="152">
        <v>45593</v>
      </c>
      <c r="U1207" s="152">
        <v>45611</v>
      </c>
      <c r="V1207" s="152"/>
      <c r="W1207" s="2">
        <f>VLOOKUP(Table1[[#This Row],[Status]],Auxiliar!$B$16:$D$24,3,0)*Table1[[#This Row],[Estimação (horas)]]</f>
        <v>0.5</v>
      </c>
      <c r="X1207" s="114"/>
    </row>
    <row r="1208" spans="2:24" ht="17.7" hidden="1" customHeight="1" x14ac:dyDescent="0.25">
      <c r="B1208" s="39" t="s">
        <v>26</v>
      </c>
      <c r="C1208" s="39" t="s">
        <v>26</v>
      </c>
      <c r="D1208" s="2" t="s">
        <v>38</v>
      </c>
      <c r="E1208" s="39" t="s">
        <v>38</v>
      </c>
      <c r="F1208" s="39" t="s">
        <v>1966</v>
      </c>
      <c r="G1208" s="39" t="s">
        <v>386</v>
      </c>
      <c r="H1208" s="59" t="str">
        <f>Table1[[#This Row],[Tabela]]&amp;Table1[[#This Row],[Campo]]</f>
        <v>lt827_mthd_usd_instrmntmthd_usd_instrmnt_scp_1</v>
      </c>
      <c r="I1208" s="2" t="s">
        <v>619</v>
      </c>
      <c r="J1208" s="45">
        <f>VLOOKUP(Table1[[#This Row],[Status]],Auxiliar!$B$16:$C$24,2,0)</f>
        <v>7</v>
      </c>
      <c r="K1208" s="45" t="s">
        <v>1255</v>
      </c>
      <c r="L1208" s="46" t="s">
        <v>1258</v>
      </c>
      <c r="M1208" s="21" t="s">
        <v>1259</v>
      </c>
      <c r="N1208" s="48">
        <v>45596</v>
      </c>
      <c r="O1208" s="21">
        <f>INDEX(Auxiliar!$D$5:$F$13,MATCH(Table1[[#This Row],[Tipologia_Testes]],Auxiliar!$B$5:$B$13,0),MATCH(Table1[[#This Row],[Complexidade]],Auxiliar!$D$4:$F$4,0))</f>
        <v>0.1</v>
      </c>
      <c r="P1208" s="43"/>
      <c r="Q1208" s="152"/>
      <c r="R1208" s="152">
        <v>45593</v>
      </c>
      <c r="S1208" s="152"/>
      <c r="T1208" s="152">
        <v>45593</v>
      </c>
      <c r="U1208" s="152">
        <v>45611</v>
      </c>
      <c r="V1208" s="152"/>
      <c r="W1208" s="2">
        <f>VLOOKUP(Table1[[#This Row],[Status]],Auxiliar!$B$16:$D$24,3,0)*Table1[[#This Row],[Estimação (horas)]]</f>
        <v>2.5000000000000001E-2</v>
      </c>
      <c r="X1208" s="114"/>
    </row>
    <row r="1209" spans="2:24" ht="17.7" hidden="1" customHeight="1" x14ac:dyDescent="0.25">
      <c r="B1209" s="39" t="s">
        <v>26</v>
      </c>
      <c r="C1209" s="39" t="s">
        <v>26</v>
      </c>
      <c r="D1209" s="2" t="s">
        <v>38</v>
      </c>
      <c r="E1209" s="40" t="s">
        <v>38</v>
      </c>
      <c r="F1209" s="40" t="s">
        <v>1966</v>
      </c>
      <c r="G1209" s="38" t="s">
        <v>387</v>
      </c>
      <c r="H1209" s="60" t="str">
        <f>Table1[[#This Row],[Tabela]]&amp;Table1[[#This Row],[Campo]]</f>
        <v>lt827_mthd_usd_instrmntmthd_usd_instrmnt_scp_2</v>
      </c>
      <c r="I1209" s="2" t="s">
        <v>619</v>
      </c>
      <c r="J1209" s="45">
        <f>VLOOKUP(Table1[[#This Row],[Status]],Auxiliar!$B$16:$C$24,2,0)</f>
        <v>7</v>
      </c>
      <c r="K1209" s="45" t="s">
        <v>1252</v>
      </c>
      <c r="L1209" s="46" t="s">
        <v>1258</v>
      </c>
      <c r="M1209" s="21" t="s">
        <v>1259</v>
      </c>
      <c r="N1209" s="48">
        <v>45596</v>
      </c>
      <c r="O1209" s="21">
        <f>INDEX(Auxiliar!$D$5:$F$13,MATCH(Table1[[#This Row],[Tipologia_Testes]],Auxiliar!$B$5:$B$13,0),MATCH(Table1[[#This Row],[Complexidade]],Auxiliar!$D$4:$F$4,0))</f>
        <v>2</v>
      </c>
      <c r="P1209" s="43"/>
      <c r="Q1209" s="152"/>
      <c r="R1209" s="152">
        <v>45593</v>
      </c>
      <c r="S1209" s="152"/>
      <c r="T1209" s="152">
        <v>45593</v>
      </c>
      <c r="U1209" s="152">
        <v>45611</v>
      </c>
      <c r="V1209" s="152"/>
      <c r="W1209" s="2">
        <f>VLOOKUP(Table1[[#This Row],[Status]],Auxiliar!$B$16:$D$24,3,0)*Table1[[#This Row],[Estimação (horas)]]</f>
        <v>0.5</v>
      </c>
      <c r="X1209" s="114"/>
    </row>
    <row r="1210" spans="2:24" ht="17.7" hidden="1" customHeight="1" x14ac:dyDescent="0.25">
      <c r="B1210" s="39" t="s">
        <v>26</v>
      </c>
      <c r="C1210" s="39" t="s">
        <v>26</v>
      </c>
      <c r="D1210" s="2" t="s">
        <v>38</v>
      </c>
      <c r="E1210" s="39" t="s">
        <v>38</v>
      </c>
      <c r="F1210" s="39" t="s">
        <v>1966</v>
      </c>
      <c r="G1210" s="39" t="s">
        <v>387</v>
      </c>
      <c r="H1210" s="59" t="str">
        <f>Table1[[#This Row],[Tabela]]&amp;Table1[[#This Row],[Campo]]</f>
        <v>lt827_mthd_usd_instrmntmthd_usd_instrmnt_scp_2</v>
      </c>
      <c r="I1210" s="2" t="s">
        <v>619</v>
      </c>
      <c r="J1210" s="45">
        <f>VLOOKUP(Table1[[#This Row],[Status]],Auxiliar!$B$16:$C$24,2,0)</f>
        <v>7</v>
      </c>
      <c r="K1210" s="45" t="s">
        <v>1253</v>
      </c>
      <c r="L1210" s="46" t="s">
        <v>1258</v>
      </c>
      <c r="M1210" s="21" t="s">
        <v>1259</v>
      </c>
      <c r="N1210" s="48">
        <v>45596</v>
      </c>
      <c r="O1210" s="21">
        <f>INDEX(Auxiliar!$D$5:$F$13,MATCH(Table1[[#This Row],[Tipologia_Testes]],Auxiliar!$B$5:$B$13,0),MATCH(Table1[[#This Row],[Complexidade]],Auxiliar!$D$4:$F$4,0))</f>
        <v>2</v>
      </c>
      <c r="P1210" s="43"/>
      <c r="Q1210" s="152"/>
      <c r="R1210" s="152">
        <v>45593</v>
      </c>
      <c r="S1210" s="152"/>
      <c r="T1210" s="152">
        <v>45593</v>
      </c>
      <c r="U1210" s="152">
        <v>45611</v>
      </c>
      <c r="V1210" s="152"/>
      <c r="W1210" s="2">
        <f>VLOOKUP(Table1[[#This Row],[Status]],Auxiliar!$B$16:$D$24,3,0)*Table1[[#This Row],[Estimação (horas)]]</f>
        <v>0.5</v>
      </c>
      <c r="X1210" s="114"/>
    </row>
    <row r="1211" spans="2:24" ht="17.7" hidden="1" customHeight="1" x14ac:dyDescent="0.25">
      <c r="B1211" s="39" t="s">
        <v>26</v>
      </c>
      <c r="C1211" s="39" t="s">
        <v>26</v>
      </c>
      <c r="D1211" s="2" t="s">
        <v>38</v>
      </c>
      <c r="E1211" s="39" t="s">
        <v>38</v>
      </c>
      <c r="F1211" s="39" t="s">
        <v>1966</v>
      </c>
      <c r="G1211" s="39" t="s">
        <v>387</v>
      </c>
      <c r="H1211" s="59" t="str">
        <f>Table1[[#This Row],[Tabela]]&amp;Table1[[#This Row],[Campo]]</f>
        <v>lt827_mthd_usd_instrmntmthd_usd_instrmnt_scp_2</v>
      </c>
      <c r="I1211" s="2" t="s">
        <v>619</v>
      </c>
      <c r="J1211" s="45">
        <f>VLOOKUP(Table1[[#This Row],[Status]],Auxiliar!$B$16:$C$24,2,0)</f>
        <v>7</v>
      </c>
      <c r="K1211" s="45" t="s">
        <v>1255</v>
      </c>
      <c r="L1211" s="46" t="s">
        <v>1258</v>
      </c>
      <c r="M1211" s="21" t="s">
        <v>1259</v>
      </c>
      <c r="N1211" s="48">
        <v>45596</v>
      </c>
      <c r="O1211" s="21">
        <f>INDEX(Auxiliar!$D$5:$F$13,MATCH(Table1[[#This Row],[Tipologia_Testes]],Auxiliar!$B$5:$B$13,0),MATCH(Table1[[#This Row],[Complexidade]],Auxiliar!$D$4:$F$4,0))</f>
        <v>0.1</v>
      </c>
      <c r="P1211" s="43"/>
      <c r="Q1211" s="152"/>
      <c r="R1211" s="152">
        <v>45593</v>
      </c>
      <c r="S1211" s="152"/>
      <c r="T1211" s="152">
        <v>45593</v>
      </c>
      <c r="U1211" s="152">
        <v>45611</v>
      </c>
      <c r="V1211" s="152"/>
      <c r="W1211" s="2">
        <f>VLOOKUP(Table1[[#This Row],[Status]],Auxiliar!$B$16:$D$24,3,0)*Table1[[#This Row],[Estimação (horas)]]</f>
        <v>2.5000000000000001E-2</v>
      </c>
      <c r="X1211" s="114"/>
    </row>
    <row r="1212" spans="2:24" ht="17.7" hidden="1" customHeight="1" x14ac:dyDescent="0.25">
      <c r="B1212" s="39" t="s">
        <v>26</v>
      </c>
      <c r="C1212" s="39" t="s">
        <v>26</v>
      </c>
      <c r="D1212" s="2" t="s">
        <v>38</v>
      </c>
      <c r="E1212" s="40" t="s">
        <v>38</v>
      </c>
      <c r="F1212" s="40" t="s">
        <v>1966</v>
      </c>
      <c r="G1212" s="38" t="s">
        <v>388</v>
      </c>
      <c r="H1212" s="60" t="str">
        <f>Table1[[#This Row],[Tabela]]&amp;Table1[[#This Row],[Campo]]</f>
        <v>lt827_mthd_usd_instrmntmthd_usd_instrmnt_scp_3</v>
      </c>
      <c r="I1212" s="2" t="s">
        <v>619</v>
      </c>
      <c r="J1212" s="45">
        <f>VLOOKUP(Table1[[#This Row],[Status]],Auxiliar!$B$16:$C$24,2,0)</f>
        <v>7</v>
      </c>
      <c r="K1212" s="45" t="s">
        <v>1252</v>
      </c>
      <c r="L1212" s="46" t="s">
        <v>1258</v>
      </c>
      <c r="M1212" s="21" t="s">
        <v>1259</v>
      </c>
      <c r="N1212" s="48">
        <v>45596</v>
      </c>
      <c r="O1212" s="21">
        <f>INDEX(Auxiliar!$D$5:$F$13,MATCH(Table1[[#This Row],[Tipologia_Testes]],Auxiliar!$B$5:$B$13,0),MATCH(Table1[[#This Row],[Complexidade]],Auxiliar!$D$4:$F$4,0))</f>
        <v>2</v>
      </c>
      <c r="P1212" s="43"/>
      <c r="Q1212" s="152"/>
      <c r="R1212" s="152">
        <v>45593</v>
      </c>
      <c r="S1212" s="152"/>
      <c r="T1212" s="152">
        <v>45593</v>
      </c>
      <c r="U1212" s="152">
        <v>45611</v>
      </c>
      <c r="V1212" s="152"/>
      <c r="W1212" s="2">
        <f>VLOOKUP(Table1[[#This Row],[Status]],Auxiliar!$B$16:$D$24,3,0)*Table1[[#This Row],[Estimação (horas)]]</f>
        <v>0.5</v>
      </c>
      <c r="X1212" s="114"/>
    </row>
    <row r="1213" spans="2:24" ht="17.7" hidden="1" customHeight="1" x14ac:dyDescent="0.25">
      <c r="B1213" s="39" t="s">
        <v>26</v>
      </c>
      <c r="C1213" s="39" t="s">
        <v>26</v>
      </c>
      <c r="D1213" s="2" t="s">
        <v>38</v>
      </c>
      <c r="E1213" s="39" t="s">
        <v>38</v>
      </c>
      <c r="F1213" s="39" t="s">
        <v>1966</v>
      </c>
      <c r="G1213" s="39" t="s">
        <v>388</v>
      </c>
      <c r="H1213" s="59" t="str">
        <f>Table1[[#This Row],[Tabela]]&amp;Table1[[#This Row],[Campo]]</f>
        <v>lt827_mthd_usd_instrmntmthd_usd_instrmnt_scp_3</v>
      </c>
      <c r="I1213" s="2" t="s">
        <v>619</v>
      </c>
      <c r="J1213" s="45">
        <f>VLOOKUP(Table1[[#This Row],[Status]],Auxiliar!$B$16:$C$24,2,0)</f>
        <v>7</v>
      </c>
      <c r="K1213" s="45" t="s">
        <v>1253</v>
      </c>
      <c r="L1213" s="46" t="s">
        <v>1258</v>
      </c>
      <c r="M1213" s="21" t="s">
        <v>1259</v>
      </c>
      <c r="N1213" s="48">
        <v>45596</v>
      </c>
      <c r="O1213" s="21">
        <f>INDEX(Auxiliar!$D$5:$F$13,MATCH(Table1[[#This Row],[Tipologia_Testes]],Auxiliar!$B$5:$B$13,0),MATCH(Table1[[#This Row],[Complexidade]],Auxiliar!$D$4:$F$4,0))</f>
        <v>2</v>
      </c>
      <c r="P1213" s="43"/>
      <c r="Q1213" s="152"/>
      <c r="R1213" s="152">
        <v>45593</v>
      </c>
      <c r="S1213" s="152"/>
      <c r="T1213" s="152">
        <v>45593</v>
      </c>
      <c r="U1213" s="152">
        <v>45611</v>
      </c>
      <c r="V1213" s="152"/>
      <c r="W1213" s="2">
        <f>VLOOKUP(Table1[[#This Row],[Status]],Auxiliar!$B$16:$D$24,3,0)*Table1[[#This Row],[Estimação (horas)]]</f>
        <v>0.5</v>
      </c>
      <c r="X1213" s="114"/>
    </row>
    <row r="1214" spans="2:24" ht="17.7" hidden="1" customHeight="1" x14ac:dyDescent="0.25">
      <c r="B1214" s="39" t="s">
        <v>26</v>
      </c>
      <c r="C1214" s="39" t="s">
        <v>26</v>
      </c>
      <c r="D1214" s="2" t="s">
        <v>38</v>
      </c>
      <c r="E1214" s="39" t="s">
        <v>38</v>
      </c>
      <c r="F1214" s="39" t="s">
        <v>1966</v>
      </c>
      <c r="G1214" s="39" t="s">
        <v>388</v>
      </c>
      <c r="H1214" s="59" t="str">
        <f>Table1[[#This Row],[Tabela]]&amp;Table1[[#This Row],[Campo]]</f>
        <v>lt827_mthd_usd_instrmntmthd_usd_instrmnt_scp_3</v>
      </c>
      <c r="I1214" s="2" t="s">
        <v>619</v>
      </c>
      <c r="J1214" s="45">
        <f>VLOOKUP(Table1[[#This Row],[Status]],Auxiliar!$B$16:$C$24,2,0)</f>
        <v>7</v>
      </c>
      <c r="K1214" s="45" t="s">
        <v>1255</v>
      </c>
      <c r="L1214" s="46" t="s">
        <v>1258</v>
      </c>
      <c r="M1214" s="21" t="s">
        <v>1259</v>
      </c>
      <c r="N1214" s="48">
        <v>45596</v>
      </c>
      <c r="O1214" s="21">
        <f>INDEX(Auxiliar!$D$5:$F$13,MATCH(Table1[[#This Row],[Tipologia_Testes]],Auxiliar!$B$5:$B$13,0),MATCH(Table1[[#This Row],[Complexidade]],Auxiliar!$D$4:$F$4,0))</f>
        <v>0.1</v>
      </c>
      <c r="P1214" s="43"/>
      <c r="Q1214" s="152"/>
      <c r="R1214" s="152">
        <v>45593</v>
      </c>
      <c r="S1214" s="152"/>
      <c r="T1214" s="152">
        <v>45593</v>
      </c>
      <c r="U1214" s="152">
        <v>45611</v>
      </c>
      <c r="V1214" s="152"/>
      <c r="W1214" s="2">
        <f>VLOOKUP(Table1[[#This Row],[Status]],Auxiliar!$B$16:$D$24,3,0)*Table1[[#This Row],[Estimação (horas)]]</f>
        <v>2.5000000000000001E-2</v>
      </c>
      <c r="X1214" s="114"/>
    </row>
    <row r="1215" spans="2:24" ht="17.7" hidden="1" customHeight="1" x14ac:dyDescent="0.25">
      <c r="B1215" s="39" t="s">
        <v>26</v>
      </c>
      <c r="C1215" s="39" t="s">
        <v>26</v>
      </c>
      <c r="D1215" s="2" t="s">
        <v>38</v>
      </c>
      <c r="E1215" s="39" t="s">
        <v>38</v>
      </c>
      <c r="F1215" s="39" t="s">
        <v>1966</v>
      </c>
      <c r="G1215" s="39" t="s">
        <v>1944</v>
      </c>
      <c r="H1215" s="59" t="str">
        <f>Table1[[#This Row],[Tabela]]&amp;Table1[[#This Row],[Campo]]</f>
        <v>lt827_mthd_usd_instrmntpurpose_code</v>
      </c>
      <c r="I1215" s="2" t="s">
        <v>619</v>
      </c>
      <c r="J1215" s="45">
        <f>VLOOKUP(Table1[[#This Row],[Status]],Auxiliar!$B$16:$C$24,2,0)</f>
        <v>7</v>
      </c>
      <c r="K1215" s="45" t="s">
        <v>1252</v>
      </c>
      <c r="L1215" s="46" t="s">
        <v>1258</v>
      </c>
      <c r="M1215" s="21" t="s">
        <v>1259</v>
      </c>
      <c r="N1215" s="48">
        <v>45596</v>
      </c>
      <c r="O1215" s="21">
        <f>INDEX(Auxiliar!$D$5:$F$11,MATCH(Table1[[#This Row],[Tipologia_Testes]],Auxiliar!$B$5:$B$11,0),MATCH(Table1[[#This Row],[Complexidade]],Auxiliar!$D$4:$F$4,0))</f>
        <v>2</v>
      </c>
      <c r="P1215" s="43"/>
      <c r="Q1215" s="152"/>
      <c r="R1215" s="152"/>
      <c r="S1215" s="152"/>
      <c r="T1215" s="152"/>
      <c r="U1215" s="152">
        <v>45611</v>
      </c>
      <c r="V1215" s="152"/>
      <c r="W1215" s="2">
        <f>VLOOKUP(Table1[[#This Row],[Status]],Auxiliar!$B$16:$D$24,3,0)*Table1[[#This Row],[Estimação (horas)]]</f>
        <v>0.5</v>
      </c>
      <c r="X1215" s="114"/>
    </row>
    <row r="1216" spans="2:24" ht="17.7" hidden="1" customHeight="1" x14ac:dyDescent="0.25">
      <c r="B1216" s="39" t="s">
        <v>26</v>
      </c>
      <c r="C1216" s="39" t="s">
        <v>26</v>
      </c>
      <c r="D1216" s="2" t="s">
        <v>38</v>
      </c>
      <c r="E1216" s="39" t="s">
        <v>38</v>
      </c>
      <c r="F1216" s="39" t="s">
        <v>1966</v>
      </c>
      <c r="G1216" s="39" t="s">
        <v>1944</v>
      </c>
      <c r="H1216" s="59" t="str">
        <f>Table1[[#This Row],[Tabela]]&amp;Table1[[#This Row],[Campo]]</f>
        <v>lt827_mthd_usd_instrmntpurpose_code</v>
      </c>
      <c r="I1216" s="2" t="s">
        <v>619</v>
      </c>
      <c r="J1216" s="45">
        <f>VLOOKUP(Table1[[#This Row],[Status]],Auxiliar!$B$16:$C$24,2,0)</f>
        <v>7</v>
      </c>
      <c r="K1216" s="45" t="s">
        <v>1253</v>
      </c>
      <c r="L1216" s="46" t="s">
        <v>1258</v>
      </c>
      <c r="M1216" s="21" t="s">
        <v>1259</v>
      </c>
      <c r="N1216" s="48">
        <v>45596</v>
      </c>
      <c r="O1216" s="21">
        <f>INDEX(Auxiliar!$D$5:$F$11,MATCH(Table1[[#This Row],[Tipologia_Testes]],Auxiliar!$B$5:$B$11,0),MATCH(Table1[[#This Row],[Complexidade]],Auxiliar!$D$4:$F$4,0))</f>
        <v>2</v>
      </c>
      <c r="P1216" s="43"/>
      <c r="Q1216" s="152"/>
      <c r="R1216" s="152"/>
      <c r="S1216" s="152"/>
      <c r="T1216" s="152"/>
      <c r="U1216" s="152">
        <v>45611</v>
      </c>
      <c r="V1216" s="152"/>
      <c r="W1216" s="2">
        <f>VLOOKUP(Table1[[#This Row],[Status]],Auxiliar!$B$16:$D$24,3,0)*Table1[[#This Row],[Estimação (horas)]]</f>
        <v>0.5</v>
      </c>
      <c r="X1216" s="114"/>
    </row>
    <row r="1217" spans="2:24" ht="17.7" hidden="1" customHeight="1" x14ac:dyDescent="0.25">
      <c r="B1217" s="39" t="s">
        <v>26</v>
      </c>
      <c r="C1217" s="39" t="s">
        <v>26</v>
      </c>
      <c r="D1217" s="2" t="s">
        <v>38</v>
      </c>
      <c r="E1217" s="39" t="s">
        <v>38</v>
      </c>
      <c r="F1217" s="39" t="s">
        <v>1966</v>
      </c>
      <c r="G1217" s="39" t="s">
        <v>1944</v>
      </c>
      <c r="H1217" s="59" t="str">
        <f>Table1[[#This Row],[Tabela]]&amp;Table1[[#This Row],[Campo]]</f>
        <v>lt827_mthd_usd_instrmntpurpose_code</v>
      </c>
      <c r="I1217" s="2" t="s">
        <v>619</v>
      </c>
      <c r="J1217" s="45">
        <f>VLOOKUP(Table1[[#This Row],[Status]],Auxiliar!$B$16:$C$24,2,0)</f>
        <v>7</v>
      </c>
      <c r="K1217" s="45" t="s">
        <v>1255</v>
      </c>
      <c r="L1217" s="46" t="s">
        <v>1258</v>
      </c>
      <c r="M1217" s="21" t="s">
        <v>1259</v>
      </c>
      <c r="N1217" s="48">
        <v>45596</v>
      </c>
      <c r="O1217" s="21">
        <f>INDEX(Auxiliar!$D$5:$F$11,MATCH(Table1[[#This Row],[Tipologia_Testes]],Auxiliar!$B$5:$B$11,0),MATCH(Table1[[#This Row],[Complexidade]],Auxiliar!$D$4:$F$4,0))</f>
        <v>0.1</v>
      </c>
      <c r="P1217" s="43"/>
      <c r="Q1217" s="152"/>
      <c r="R1217" s="152"/>
      <c r="S1217" s="152"/>
      <c r="T1217" s="152"/>
      <c r="U1217" s="152">
        <v>45611</v>
      </c>
      <c r="V1217" s="152"/>
      <c r="W1217" s="2">
        <f>VLOOKUP(Table1[[#This Row],[Status]],Auxiliar!$B$16:$D$24,3,0)*Table1[[#This Row],[Estimação (horas)]]</f>
        <v>2.5000000000000001E-2</v>
      </c>
      <c r="X1217" s="114"/>
    </row>
    <row r="1218" spans="2:24" ht="17.7" hidden="1" customHeight="1" x14ac:dyDescent="0.25">
      <c r="B1218" s="39" t="s">
        <v>26</v>
      </c>
      <c r="C1218" s="39" t="s">
        <v>26</v>
      </c>
      <c r="D1218" s="2" t="s">
        <v>38</v>
      </c>
      <c r="E1218" s="39" t="s">
        <v>38</v>
      </c>
      <c r="F1218" s="39" t="s">
        <v>1966</v>
      </c>
      <c r="G1218" s="39" t="s">
        <v>481</v>
      </c>
      <c r="H1218" s="59" t="str">
        <f>Table1[[#This Row],[Tabela]]&amp;Table1[[#This Row],[Campo]]</f>
        <v>lt827_mthd_usd_instrmntflg_fin</v>
      </c>
      <c r="I1218" s="2" t="s">
        <v>619</v>
      </c>
      <c r="J1218" s="45">
        <f>VLOOKUP(Table1[[#This Row],[Status]],Auxiliar!$B$16:$C$24,2,0)</f>
        <v>7</v>
      </c>
      <c r="K1218" s="45" t="s">
        <v>1252</v>
      </c>
      <c r="L1218" s="46" t="s">
        <v>1258</v>
      </c>
      <c r="M1218" s="21" t="s">
        <v>1259</v>
      </c>
      <c r="N1218" s="48">
        <v>45596</v>
      </c>
      <c r="O1218" s="21">
        <f>INDEX(Auxiliar!$D$5:$F$11,MATCH(Table1[[#This Row],[Tipologia_Testes]],Auxiliar!$B$5:$B$11,0),MATCH(Table1[[#This Row],[Complexidade]],Auxiliar!$D$4:$F$4,0))</f>
        <v>2</v>
      </c>
      <c r="P1218" s="43"/>
      <c r="Q1218" s="152"/>
      <c r="R1218" s="152"/>
      <c r="S1218" s="152"/>
      <c r="T1218" s="152"/>
      <c r="U1218" s="152">
        <v>45611</v>
      </c>
      <c r="V1218" s="152"/>
      <c r="W1218" s="2">
        <f>VLOOKUP(Table1[[#This Row],[Status]],Auxiliar!$B$16:$D$24,3,0)*Table1[[#This Row],[Estimação (horas)]]</f>
        <v>0.5</v>
      </c>
      <c r="X1218" s="114"/>
    </row>
    <row r="1219" spans="2:24" ht="17.7" hidden="1" customHeight="1" x14ac:dyDescent="0.25">
      <c r="B1219" s="39" t="s">
        <v>26</v>
      </c>
      <c r="C1219" s="39" t="s">
        <v>26</v>
      </c>
      <c r="D1219" s="2" t="s">
        <v>38</v>
      </c>
      <c r="E1219" s="39" t="s">
        <v>38</v>
      </c>
      <c r="F1219" s="39" t="s">
        <v>1966</v>
      </c>
      <c r="G1219" s="39" t="s">
        <v>481</v>
      </c>
      <c r="H1219" s="59" t="str">
        <f>Table1[[#This Row],[Tabela]]&amp;Table1[[#This Row],[Campo]]</f>
        <v>lt827_mthd_usd_instrmntflg_fin</v>
      </c>
      <c r="I1219" s="2" t="s">
        <v>619</v>
      </c>
      <c r="J1219" s="45">
        <f>VLOOKUP(Table1[[#This Row],[Status]],Auxiliar!$B$16:$C$24,2,0)</f>
        <v>7</v>
      </c>
      <c r="K1219" s="45" t="s">
        <v>1253</v>
      </c>
      <c r="L1219" s="46" t="s">
        <v>1258</v>
      </c>
      <c r="M1219" s="21" t="s">
        <v>1259</v>
      </c>
      <c r="N1219" s="48">
        <v>45596</v>
      </c>
      <c r="O1219" s="21">
        <f>INDEX(Auxiliar!$D$5:$F$11,MATCH(Table1[[#This Row],[Tipologia_Testes]],Auxiliar!$B$5:$B$11,0),MATCH(Table1[[#This Row],[Complexidade]],Auxiliar!$D$4:$F$4,0))</f>
        <v>2</v>
      </c>
      <c r="P1219" s="43"/>
      <c r="Q1219" s="152"/>
      <c r="R1219" s="152"/>
      <c r="S1219" s="152"/>
      <c r="T1219" s="152"/>
      <c r="U1219" s="152">
        <v>45611</v>
      </c>
      <c r="V1219" s="152"/>
      <c r="W1219" s="2">
        <f>VLOOKUP(Table1[[#This Row],[Status]],Auxiliar!$B$16:$D$24,3,0)*Table1[[#This Row],[Estimação (horas)]]</f>
        <v>0.5</v>
      </c>
      <c r="X1219" s="114"/>
    </row>
    <row r="1220" spans="2:24" ht="17.7" hidden="1" customHeight="1" x14ac:dyDescent="0.25">
      <c r="B1220" s="39" t="s">
        <v>26</v>
      </c>
      <c r="C1220" s="39" t="s">
        <v>26</v>
      </c>
      <c r="D1220" s="2" t="s">
        <v>38</v>
      </c>
      <c r="E1220" s="39" t="s">
        <v>38</v>
      </c>
      <c r="F1220" s="39" t="s">
        <v>1966</v>
      </c>
      <c r="G1220" s="39" t="s">
        <v>481</v>
      </c>
      <c r="H1220" s="59" t="str">
        <f>Table1[[#This Row],[Tabela]]&amp;Table1[[#This Row],[Campo]]</f>
        <v>lt827_mthd_usd_instrmntflg_fin</v>
      </c>
      <c r="I1220" s="2" t="s">
        <v>619</v>
      </c>
      <c r="J1220" s="45">
        <f>VLOOKUP(Table1[[#This Row],[Status]],Auxiliar!$B$16:$C$24,2,0)</f>
        <v>7</v>
      </c>
      <c r="K1220" s="45" t="s">
        <v>1255</v>
      </c>
      <c r="L1220" s="46" t="s">
        <v>1258</v>
      </c>
      <c r="M1220" s="21" t="s">
        <v>1259</v>
      </c>
      <c r="N1220" s="48">
        <v>45596</v>
      </c>
      <c r="O1220" s="21">
        <f>INDEX(Auxiliar!$D$5:$F$11,MATCH(Table1[[#This Row],[Tipologia_Testes]],Auxiliar!$B$5:$B$11,0),MATCH(Table1[[#This Row],[Complexidade]],Auxiliar!$D$4:$F$4,0))</f>
        <v>0.1</v>
      </c>
      <c r="P1220" s="43"/>
      <c r="Q1220" s="152"/>
      <c r="R1220" s="152"/>
      <c r="S1220" s="152"/>
      <c r="T1220" s="152"/>
      <c r="U1220" s="152">
        <v>45611</v>
      </c>
      <c r="V1220" s="152"/>
      <c r="W1220" s="2">
        <f>VLOOKUP(Table1[[#This Row],[Status]],Auxiliar!$B$16:$D$24,3,0)*Table1[[#This Row],[Estimação (horas)]]</f>
        <v>2.5000000000000001E-2</v>
      </c>
      <c r="X1220" s="114"/>
    </row>
    <row r="1221" spans="2:24" ht="17.7" hidden="1" customHeight="1" x14ac:dyDescent="0.25">
      <c r="B1221" s="39" t="s">
        <v>26</v>
      </c>
      <c r="C1221" s="39" t="s">
        <v>26</v>
      </c>
      <c r="D1221" s="2" t="s">
        <v>38</v>
      </c>
      <c r="E1221" s="39" t="s">
        <v>38</v>
      </c>
      <c r="F1221" s="39" t="s">
        <v>1966</v>
      </c>
      <c r="G1221" s="39" t="s">
        <v>1364</v>
      </c>
      <c r="H1221" s="59" t="str">
        <f>Table1[[#This Row],[Tabela]]&amp;Table1[[#This Row],[Campo]]</f>
        <v>lt827_mthd_usd_instrmntflg_exec</v>
      </c>
      <c r="I1221" s="2" t="s">
        <v>619</v>
      </c>
      <c r="J1221" s="45">
        <f>VLOOKUP(Table1[[#This Row],[Status]],Auxiliar!$B$16:$C$24,2,0)</f>
        <v>7</v>
      </c>
      <c r="K1221" s="45" t="s">
        <v>1252</v>
      </c>
      <c r="L1221" s="46" t="s">
        <v>1258</v>
      </c>
      <c r="M1221" s="21" t="s">
        <v>1259</v>
      </c>
      <c r="N1221" s="48">
        <v>45596</v>
      </c>
      <c r="O1221" s="21">
        <f>INDEX(Auxiliar!$D$5:$F$11,MATCH(Table1[[#This Row],[Tipologia_Testes]],Auxiliar!$B$5:$B$11,0),MATCH(Table1[[#This Row],[Complexidade]],Auxiliar!$D$4:$F$4,0))</f>
        <v>2</v>
      </c>
      <c r="P1221" s="43"/>
      <c r="Q1221" s="152"/>
      <c r="R1221" s="152"/>
      <c r="S1221" s="152"/>
      <c r="T1221" s="152"/>
      <c r="U1221" s="152">
        <v>45611</v>
      </c>
      <c r="V1221" s="152"/>
      <c r="W1221" s="2">
        <f>VLOOKUP(Table1[[#This Row],[Status]],Auxiliar!$B$16:$D$24,3,0)*Table1[[#This Row],[Estimação (horas)]]</f>
        <v>0.5</v>
      </c>
      <c r="X1221" s="114"/>
    </row>
    <row r="1222" spans="2:24" ht="17.7" hidden="1" customHeight="1" x14ac:dyDescent="0.25">
      <c r="B1222" s="39" t="s">
        <v>26</v>
      </c>
      <c r="C1222" s="39" t="s">
        <v>26</v>
      </c>
      <c r="D1222" s="2" t="s">
        <v>38</v>
      </c>
      <c r="E1222" s="39" t="s">
        <v>38</v>
      </c>
      <c r="F1222" s="39" t="s">
        <v>1966</v>
      </c>
      <c r="G1222" s="39" t="s">
        <v>1364</v>
      </c>
      <c r="H1222" s="59" t="str">
        <f>Table1[[#This Row],[Tabela]]&amp;Table1[[#This Row],[Campo]]</f>
        <v>lt827_mthd_usd_instrmntflg_exec</v>
      </c>
      <c r="I1222" s="2" t="s">
        <v>619</v>
      </c>
      <c r="J1222" s="45">
        <f>VLOOKUP(Table1[[#This Row],[Status]],Auxiliar!$B$16:$C$24,2,0)</f>
        <v>7</v>
      </c>
      <c r="K1222" s="45" t="s">
        <v>1253</v>
      </c>
      <c r="L1222" s="46" t="s">
        <v>1258</v>
      </c>
      <c r="M1222" s="21" t="s">
        <v>1259</v>
      </c>
      <c r="N1222" s="48">
        <v>45596</v>
      </c>
      <c r="O1222" s="21">
        <f>INDEX(Auxiliar!$D$5:$F$11,MATCH(Table1[[#This Row],[Tipologia_Testes]],Auxiliar!$B$5:$B$11,0),MATCH(Table1[[#This Row],[Complexidade]],Auxiliar!$D$4:$F$4,0))</f>
        <v>2</v>
      </c>
      <c r="P1222" s="43"/>
      <c r="Q1222" s="152"/>
      <c r="R1222" s="152"/>
      <c r="S1222" s="152"/>
      <c r="T1222" s="152"/>
      <c r="U1222" s="152">
        <v>45611</v>
      </c>
      <c r="V1222" s="152"/>
      <c r="W1222" s="2">
        <f>VLOOKUP(Table1[[#This Row],[Status]],Auxiliar!$B$16:$D$24,3,0)*Table1[[#This Row],[Estimação (horas)]]</f>
        <v>0.5</v>
      </c>
      <c r="X1222" s="114"/>
    </row>
    <row r="1223" spans="2:24" ht="17.7" hidden="1" customHeight="1" x14ac:dyDescent="0.25">
      <c r="B1223" s="39" t="s">
        <v>26</v>
      </c>
      <c r="C1223" s="39" t="s">
        <v>26</v>
      </c>
      <c r="D1223" s="2" t="s">
        <v>38</v>
      </c>
      <c r="E1223" s="39" t="s">
        <v>38</v>
      </c>
      <c r="F1223" s="39" t="s">
        <v>1966</v>
      </c>
      <c r="G1223" s="39" t="s">
        <v>1364</v>
      </c>
      <c r="H1223" s="59" t="str">
        <f>Table1[[#This Row],[Tabela]]&amp;Table1[[#This Row],[Campo]]</f>
        <v>lt827_mthd_usd_instrmntflg_exec</v>
      </c>
      <c r="I1223" s="2" t="s">
        <v>619</v>
      </c>
      <c r="J1223" s="45">
        <f>VLOOKUP(Table1[[#This Row],[Status]],Auxiliar!$B$16:$C$24,2,0)</f>
        <v>7</v>
      </c>
      <c r="K1223" s="45" t="s">
        <v>1255</v>
      </c>
      <c r="L1223" s="46" t="s">
        <v>1258</v>
      </c>
      <c r="M1223" s="21" t="s">
        <v>1259</v>
      </c>
      <c r="N1223" s="48">
        <v>45596</v>
      </c>
      <c r="O1223" s="21">
        <f>INDEX(Auxiliar!$D$5:$F$11,MATCH(Table1[[#This Row],[Tipologia_Testes]],Auxiliar!$B$5:$B$11,0),MATCH(Table1[[#This Row],[Complexidade]],Auxiliar!$D$4:$F$4,0))</f>
        <v>0.1</v>
      </c>
      <c r="P1223" s="43"/>
      <c r="Q1223" s="152"/>
      <c r="R1223" s="152"/>
      <c r="S1223" s="152"/>
      <c r="T1223" s="152"/>
      <c r="U1223" s="152">
        <v>45611</v>
      </c>
      <c r="V1223" s="152"/>
      <c r="W1223" s="2">
        <f>VLOOKUP(Table1[[#This Row],[Status]],Auxiliar!$B$16:$D$24,3,0)*Table1[[#This Row],[Estimação (horas)]]</f>
        <v>2.5000000000000001E-2</v>
      </c>
      <c r="X1223" s="114"/>
    </row>
    <row r="1224" spans="2:24" ht="17.7" hidden="1" customHeight="1" x14ac:dyDescent="0.25">
      <c r="B1224" s="39" t="s">
        <v>26</v>
      </c>
      <c r="C1224" s="39" t="s">
        <v>26</v>
      </c>
      <c r="D1224" s="2" t="s">
        <v>38</v>
      </c>
      <c r="E1224" s="39" t="s">
        <v>38</v>
      </c>
      <c r="F1224" s="39" t="s">
        <v>1966</v>
      </c>
      <c r="G1224" s="39" t="s">
        <v>480</v>
      </c>
      <c r="H1224" s="59" t="str">
        <f>Table1[[#This Row],[Tabela]]&amp;Table1[[#This Row],[Campo]]</f>
        <v>lt827_mthd_usd_instrmntflg_col</v>
      </c>
      <c r="I1224" s="2" t="s">
        <v>619</v>
      </c>
      <c r="J1224" s="45">
        <f>VLOOKUP(Table1[[#This Row],[Status]],Auxiliar!$B$16:$C$24,2,0)</f>
        <v>7</v>
      </c>
      <c r="K1224" s="45" t="s">
        <v>1252</v>
      </c>
      <c r="L1224" s="46" t="s">
        <v>1258</v>
      </c>
      <c r="M1224" s="21" t="s">
        <v>1259</v>
      </c>
      <c r="N1224" s="48">
        <v>45596</v>
      </c>
      <c r="O1224" s="21">
        <f>INDEX(Auxiliar!$D$5:$F$11,MATCH(Table1[[#This Row],[Tipologia_Testes]],Auxiliar!$B$5:$B$11,0),MATCH(Table1[[#This Row],[Complexidade]],Auxiliar!$D$4:$F$4,0))</f>
        <v>2</v>
      </c>
      <c r="P1224" s="43"/>
      <c r="Q1224" s="152"/>
      <c r="R1224" s="152"/>
      <c r="S1224" s="152"/>
      <c r="T1224" s="152"/>
      <c r="U1224" s="152">
        <v>45611</v>
      </c>
      <c r="V1224" s="152"/>
      <c r="W1224" s="2">
        <f>VLOOKUP(Table1[[#This Row],[Status]],Auxiliar!$B$16:$D$24,3,0)*Table1[[#This Row],[Estimação (horas)]]</f>
        <v>0.5</v>
      </c>
      <c r="X1224" s="114"/>
    </row>
    <row r="1225" spans="2:24" ht="17.7" hidden="1" customHeight="1" x14ac:dyDescent="0.25">
      <c r="B1225" s="39" t="s">
        <v>26</v>
      </c>
      <c r="C1225" s="39" t="s">
        <v>26</v>
      </c>
      <c r="D1225" s="2" t="s">
        <v>38</v>
      </c>
      <c r="E1225" s="39" t="s">
        <v>38</v>
      </c>
      <c r="F1225" s="39" t="s">
        <v>1966</v>
      </c>
      <c r="G1225" s="39" t="s">
        <v>480</v>
      </c>
      <c r="H1225" s="59" t="str">
        <f>Table1[[#This Row],[Tabela]]&amp;Table1[[#This Row],[Campo]]</f>
        <v>lt827_mthd_usd_instrmntflg_col</v>
      </c>
      <c r="I1225" s="2" t="s">
        <v>619</v>
      </c>
      <c r="J1225" s="45">
        <f>VLOOKUP(Table1[[#This Row],[Status]],Auxiliar!$B$16:$C$24,2,0)</f>
        <v>7</v>
      </c>
      <c r="K1225" s="45" t="s">
        <v>1253</v>
      </c>
      <c r="L1225" s="46" t="s">
        <v>1258</v>
      </c>
      <c r="M1225" s="21" t="s">
        <v>1259</v>
      </c>
      <c r="N1225" s="48">
        <v>45596</v>
      </c>
      <c r="O1225" s="21">
        <f>INDEX(Auxiliar!$D$5:$F$11,MATCH(Table1[[#This Row],[Tipologia_Testes]],Auxiliar!$B$5:$B$11,0),MATCH(Table1[[#This Row],[Complexidade]],Auxiliar!$D$4:$F$4,0))</f>
        <v>2</v>
      </c>
      <c r="P1225" s="43"/>
      <c r="Q1225" s="152"/>
      <c r="R1225" s="152"/>
      <c r="S1225" s="152"/>
      <c r="T1225" s="152"/>
      <c r="U1225" s="152">
        <v>45611</v>
      </c>
      <c r="V1225" s="152"/>
      <c r="W1225" s="2">
        <f>VLOOKUP(Table1[[#This Row],[Status]],Auxiliar!$B$16:$D$24,3,0)*Table1[[#This Row],[Estimação (horas)]]</f>
        <v>0.5</v>
      </c>
      <c r="X1225" s="114"/>
    </row>
    <row r="1226" spans="2:24" ht="17.7" hidden="1" customHeight="1" x14ac:dyDescent="0.25">
      <c r="B1226" s="39" t="s">
        <v>26</v>
      </c>
      <c r="C1226" s="39" t="s">
        <v>26</v>
      </c>
      <c r="D1226" s="2" t="s">
        <v>38</v>
      </c>
      <c r="E1226" s="39" t="s">
        <v>38</v>
      </c>
      <c r="F1226" s="39" t="s">
        <v>1966</v>
      </c>
      <c r="G1226" s="39" t="s">
        <v>480</v>
      </c>
      <c r="H1226" s="59" t="str">
        <f>Table1[[#This Row],[Tabela]]&amp;Table1[[#This Row],[Campo]]</f>
        <v>lt827_mthd_usd_instrmntflg_col</v>
      </c>
      <c r="I1226" s="2" t="s">
        <v>619</v>
      </c>
      <c r="J1226" s="45">
        <f>VLOOKUP(Table1[[#This Row],[Status]],Auxiliar!$B$16:$C$24,2,0)</f>
        <v>7</v>
      </c>
      <c r="K1226" s="45" t="s">
        <v>1255</v>
      </c>
      <c r="L1226" s="46" t="s">
        <v>1258</v>
      </c>
      <c r="M1226" s="21" t="s">
        <v>1259</v>
      </c>
      <c r="N1226" s="48">
        <v>45596</v>
      </c>
      <c r="O1226" s="21">
        <f>INDEX(Auxiliar!$D$5:$F$11,MATCH(Table1[[#This Row],[Tipologia_Testes]],Auxiliar!$B$5:$B$11,0),MATCH(Table1[[#This Row],[Complexidade]],Auxiliar!$D$4:$F$4,0))</f>
        <v>0.1</v>
      </c>
      <c r="P1226" s="43"/>
      <c r="Q1226" s="152"/>
      <c r="R1226" s="152"/>
      <c r="S1226" s="152"/>
      <c r="T1226" s="152"/>
      <c r="U1226" s="152">
        <v>45611</v>
      </c>
      <c r="V1226" s="152"/>
      <c r="W1226" s="2">
        <f>VLOOKUP(Table1[[#This Row],[Status]],Auxiliar!$B$16:$D$24,3,0)*Table1[[#This Row],[Estimação (horas)]]</f>
        <v>2.5000000000000001E-2</v>
      </c>
      <c r="X1226" s="114"/>
    </row>
    <row r="1227" spans="2:24" ht="17.7" hidden="1" customHeight="1" x14ac:dyDescent="0.25">
      <c r="B1227" s="39" t="s">
        <v>26</v>
      </c>
      <c r="C1227" s="39" t="s">
        <v>26</v>
      </c>
      <c r="D1227" s="2" t="s">
        <v>38</v>
      </c>
      <c r="E1227" s="39" t="s">
        <v>38</v>
      </c>
      <c r="F1227" s="39" t="s">
        <v>1966</v>
      </c>
      <c r="G1227" s="39" t="s">
        <v>482</v>
      </c>
      <c r="H1227" s="59" t="str">
        <f>Table1[[#This Row],[Tabela]]&amp;Table1[[#This Row],[Campo]]</f>
        <v>lt827_mthd_usd_instrmntflg_pro</v>
      </c>
      <c r="I1227" s="2" t="s">
        <v>619</v>
      </c>
      <c r="J1227" s="45">
        <f>VLOOKUP(Table1[[#This Row],[Status]],Auxiliar!$B$16:$C$24,2,0)</f>
        <v>7</v>
      </c>
      <c r="K1227" s="45" t="s">
        <v>1252</v>
      </c>
      <c r="L1227" s="46" t="s">
        <v>1258</v>
      </c>
      <c r="M1227" s="21" t="s">
        <v>1259</v>
      </c>
      <c r="N1227" s="48">
        <v>45596</v>
      </c>
      <c r="O1227" s="21">
        <f>INDEX(Auxiliar!$D$5:$F$11,MATCH(Table1[[#This Row],[Tipologia_Testes]],Auxiliar!$B$5:$B$11,0),MATCH(Table1[[#This Row],[Complexidade]],Auxiliar!$D$4:$F$4,0))</f>
        <v>2</v>
      </c>
      <c r="P1227" s="43"/>
      <c r="Q1227" s="152"/>
      <c r="R1227" s="152"/>
      <c r="S1227" s="152"/>
      <c r="T1227" s="152"/>
      <c r="U1227" s="152">
        <v>45611</v>
      </c>
      <c r="V1227" s="152"/>
      <c r="W1227" s="2">
        <f>VLOOKUP(Table1[[#This Row],[Status]],Auxiliar!$B$16:$D$24,3,0)*Table1[[#This Row],[Estimação (horas)]]</f>
        <v>0.5</v>
      </c>
      <c r="X1227" s="114"/>
    </row>
    <row r="1228" spans="2:24" ht="17.7" hidden="1" customHeight="1" x14ac:dyDescent="0.25">
      <c r="B1228" s="39" t="s">
        <v>26</v>
      </c>
      <c r="C1228" s="39" t="s">
        <v>26</v>
      </c>
      <c r="D1228" s="2" t="s">
        <v>38</v>
      </c>
      <c r="E1228" s="39" t="s">
        <v>38</v>
      </c>
      <c r="F1228" s="39" t="s">
        <v>1966</v>
      </c>
      <c r="G1228" s="39" t="s">
        <v>482</v>
      </c>
      <c r="H1228" s="59" t="str">
        <f>Table1[[#This Row],[Tabela]]&amp;Table1[[#This Row],[Campo]]</f>
        <v>lt827_mthd_usd_instrmntflg_pro</v>
      </c>
      <c r="I1228" s="2" t="s">
        <v>619</v>
      </c>
      <c r="J1228" s="45">
        <f>VLOOKUP(Table1[[#This Row],[Status]],Auxiliar!$B$16:$C$24,2,0)</f>
        <v>7</v>
      </c>
      <c r="K1228" s="45" t="s">
        <v>1253</v>
      </c>
      <c r="L1228" s="46" t="s">
        <v>1258</v>
      </c>
      <c r="M1228" s="21" t="s">
        <v>1259</v>
      </c>
      <c r="N1228" s="48">
        <v>45596</v>
      </c>
      <c r="O1228" s="21">
        <f>INDEX(Auxiliar!$D$5:$F$11,MATCH(Table1[[#This Row],[Tipologia_Testes]],Auxiliar!$B$5:$B$11,0),MATCH(Table1[[#This Row],[Complexidade]],Auxiliar!$D$4:$F$4,0))</f>
        <v>2</v>
      </c>
      <c r="P1228" s="43"/>
      <c r="Q1228" s="152"/>
      <c r="R1228" s="152"/>
      <c r="S1228" s="152"/>
      <c r="T1228" s="152"/>
      <c r="U1228" s="152">
        <v>45611</v>
      </c>
      <c r="V1228" s="152"/>
      <c r="W1228" s="2">
        <f>VLOOKUP(Table1[[#This Row],[Status]],Auxiliar!$B$16:$D$24,3,0)*Table1[[#This Row],[Estimação (horas)]]</f>
        <v>0.5</v>
      </c>
      <c r="X1228" s="114"/>
    </row>
    <row r="1229" spans="2:24" ht="17.7" hidden="1" customHeight="1" x14ac:dyDescent="0.25">
      <c r="B1229" s="39" t="s">
        <v>26</v>
      </c>
      <c r="C1229" s="39" t="s">
        <v>26</v>
      </c>
      <c r="D1229" s="2" t="s">
        <v>38</v>
      </c>
      <c r="E1229" s="39" t="s">
        <v>38</v>
      </c>
      <c r="F1229" s="39" t="s">
        <v>1966</v>
      </c>
      <c r="G1229" s="39" t="s">
        <v>482</v>
      </c>
      <c r="H1229" s="59" t="str">
        <f>Table1[[#This Row],[Tabela]]&amp;Table1[[#This Row],[Campo]]</f>
        <v>lt827_mthd_usd_instrmntflg_pro</v>
      </c>
      <c r="I1229" s="2" t="s">
        <v>619</v>
      </c>
      <c r="J1229" s="45">
        <f>VLOOKUP(Table1[[#This Row],[Status]],Auxiliar!$B$16:$C$24,2,0)</f>
        <v>7</v>
      </c>
      <c r="K1229" s="45" t="s">
        <v>1255</v>
      </c>
      <c r="L1229" s="46" t="s">
        <v>1258</v>
      </c>
      <c r="M1229" s="21" t="s">
        <v>1259</v>
      </c>
      <c r="N1229" s="48">
        <v>45596</v>
      </c>
      <c r="O1229" s="21">
        <f>INDEX(Auxiliar!$D$5:$F$11,MATCH(Table1[[#This Row],[Tipologia_Testes]],Auxiliar!$B$5:$B$11,0),MATCH(Table1[[#This Row],[Complexidade]],Auxiliar!$D$4:$F$4,0))</f>
        <v>0.1</v>
      </c>
      <c r="P1229" s="43"/>
      <c r="Q1229" s="152"/>
      <c r="R1229" s="152"/>
      <c r="S1229" s="152"/>
      <c r="T1229" s="152"/>
      <c r="U1229" s="152">
        <v>45611</v>
      </c>
      <c r="V1229" s="152"/>
      <c r="W1229" s="2">
        <f>VLOOKUP(Table1[[#This Row],[Status]],Auxiliar!$B$16:$D$24,3,0)*Table1[[#This Row],[Estimação (horas)]]</f>
        <v>2.5000000000000001E-2</v>
      </c>
      <c r="X1229" s="114"/>
    </row>
    <row r="1230" spans="2:24" ht="17.7" hidden="1" customHeight="1" x14ac:dyDescent="0.25">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1344</v>
      </c>
      <c r="Q1230" s="152"/>
      <c r="R1230" s="152">
        <v>45261</v>
      </c>
      <c r="S1230" s="152"/>
      <c r="T1230" s="152"/>
      <c r="U1230" s="152"/>
      <c r="V1230" s="152"/>
      <c r="W1230" s="2">
        <f>VLOOKUP(Table1[[#This Row],[Status]],Auxiliar!$B$16:$D$24,3,0)*Table1[[#This Row],[Estimação (horas)]]</f>
        <v>2</v>
      </c>
      <c r="X1230" s="114"/>
    </row>
    <row r="1231" spans="2:24" ht="17.7" hidden="1" customHeight="1" x14ac:dyDescent="0.25">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1344</v>
      </c>
      <c r="Q1231" s="152"/>
      <c r="R1231" s="152">
        <v>45261</v>
      </c>
      <c r="S1231" s="152"/>
      <c r="T1231" s="152"/>
      <c r="U1231" s="152"/>
      <c r="V1231" s="152"/>
      <c r="W1231" s="2">
        <f>VLOOKUP(Table1[[#This Row],[Status]],Auxiliar!$B$16:$D$24,3,0)*Table1[[#This Row],[Estimação (horas)]]</f>
        <v>2</v>
      </c>
      <c r="X1231" s="114"/>
    </row>
    <row r="1232" spans="2:24" ht="17.7" hidden="1" customHeight="1" x14ac:dyDescent="0.25">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1344</v>
      </c>
      <c r="Q1232" s="152"/>
      <c r="R1232" s="152">
        <v>45261</v>
      </c>
      <c r="S1232" s="152"/>
      <c r="T1232" s="152"/>
      <c r="U1232" s="152"/>
      <c r="V1232" s="152"/>
      <c r="W1232" s="2">
        <f>VLOOKUP(Table1[[#This Row],[Status]],Auxiliar!$B$16:$D$24,3,0)*Table1[[#This Row],[Estimação (horas)]]</f>
        <v>0.1</v>
      </c>
      <c r="X1232" s="114"/>
    </row>
    <row r="1233" spans="2:24" ht="17.7" hidden="1" customHeight="1" x14ac:dyDescent="0.25">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1344</v>
      </c>
      <c r="Q1233" s="152"/>
      <c r="R1233" s="152">
        <v>45261</v>
      </c>
      <c r="S1233" s="152"/>
      <c r="T1233" s="152"/>
      <c r="U1233" s="152"/>
      <c r="V1233" s="152"/>
      <c r="W1233" s="2">
        <f>VLOOKUP(Table1[[#This Row],[Status]],Auxiliar!$B$16:$D$24,3,0)*Table1[[#This Row],[Estimação (horas)]]</f>
        <v>2</v>
      </c>
      <c r="X1233" s="114"/>
    </row>
    <row r="1234" spans="2:24" ht="17.7" hidden="1" customHeight="1" x14ac:dyDescent="0.25">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1344</v>
      </c>
      <c r="Q1234" s="152"/>
      <c r="R1234" s="152">
        <v>45261</v>
      </c>
      <c r="S1234" s="152"/>
      <c r="T1234" s="152"/>
      <c r="U1234" s="152"/>
      <c r="V1234" s="152"/>
      <c r="W1234" s="2">
        <f>VLOOKUP(Table1[[#This Row],[Status]],Auxiliar!$B$16:$D$24,3,0)*Table1[[#This Row],[Estimação (horas)]]</f>
        <v>2</v>
      </c>
      <c r="X1234" s="114"/>
    </row>
    <row r="1235" spans="2:24" ht="17.7" hidden="1" customHeight="1" x14ac:dyDescent="0.25">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1344</v>
      </c>
      <c r="Q1235" s="152"/>
      <c r="R1235" s="152">
        <v>45261</v>
      </c>
      <c r="S1235" s="152"/>
      <c r="T1235" s="152"/>
      <c r="U1235" s="152"/>
      <c r="V1235" s="152"/>
      <c r="W1235" s="2">
        <f>VLOOKUP(Table1[[#This Row],[Status]],Auxiliar!$B$16:$D$24,3,0)*Table1[[#This Row],[Estimação (horas)]]</f>
        <v>0.1</v>
      </c>
      <c r="X1235" s="114"/>
    </row>
    <row r="1236" spans="2:24" ht="17.7" hidden="1" customHeight="1" x14ac:dyDescent="0.25">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1344</v>
      </c>
      <c r="Q1236" s="152"/>
      <c r="R1236" s="152">
        <v>45261</v>
      </c>
      <c r="S1236" s="152"/>
      <c r="T1236" s="152"/>
      <c r="U1236" s="152"/>
      <c r="V1236" s="152"/>
      <c r="W1236" s="2">
        <f>VLOOKUP(Table1[[#This Row],[Status]],Auxiliar!$B$16:$D$24,3,0)*Table1[[#This Row],[Estimação (horas)]]</f>
        <v>2</v>
      </c>
      <c r="X1236" s="114"/>
    </row>
    <row r="1237" spans="2:24" ht="17.7" hidden="1" customHeight="1" x14ac:dyDescent="0.25">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1344</v>
      </c>
      <c r="Q1237" s="152"/>
      <c r="R1237" s="152">
        <v>45261</v>
      </c>
      <c r="S1237" s="152"/>
      <c r="T1237" s="152"/>
      <c r="U1237" s="152"/>
      <c r="V1237" s="152"/>
      <c r="W1237" s="2">
        <f>VLOOKUP(Table1[[#This Row],[Status]],Auxiliar!$B$16:$D$24,3,0)*Table1[[#This Row],[Estimação (horas)]]</f>
        <v>2</v>
      </c>
      <c r="X1237" s="114"/>
    </row>
    <row r="1238" spans="2:24" ht="17.7" hidden="1" customHeight="1" x14ac:dyDescent="0.25">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1344</v>
      </c>
      <c r="Q1238" s="152"/>
      <c r="R1238" s="152">
        <v>45261</v>
      </c>
      <c r="S1238" s="152"/>
      <c r="T1238" s="152"/>
      <c r="U1238" s="152"/>
      <c r="V1238" s="152"/>
      <c r="W1238" s="2">
        <f>VLOOKUP(Table1[[#This Row],[Status]],Auxiliar!$B$16:$D$24,3,0)*Table1[[#This Row],[Estimação (horas)]]</f>
        <v>0.1</v>
      </c>
      <c r="X1238" s="114"/>
    </row>
    <row r="1239" spans="2:24" ht="17.7" hidden="1" customHeight="1" x14ac:dyDescent="0.25">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1344</v>
      </c>
      <c r="Q1239" s="152"/>
      <c r="R1239" s="152">
        <v>45261</v>
      </c>
      <c r="S1239" s="152"/>
      <c r="T1239" s="152"/>
      <c r="U1239" s="152"/>
      <c r="V1239" s="152"/>
      <c r="W1239" s="2">
        <f>VLOOKUP(Table1[[#This Row],[Status]],Auxiliar!$B$16:$D$24,3,0)*Table1[[#This Row],[Estimação (horas)]]</f>
        <v>2</v>
      </c>
      <c r="X1239" s="114"/>
    </row>
    <row r="1240" spans="2:24" ht="17.7" hidden="1" customHeight="1" x14ac:dyDescent="0.25">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1344</v>
      </c>
      <c r="Q1240" s="152"/>
      <c r="R1240" s="152">
        <v>45261</v>
      </c>
      <c r="S1240" s="152"/>
      <c r="T1240" s="152"/>
      <c r="U1240" s="152"/>
      <c r="V1240" s="152"/>
      <c r="W1240" s="2">
        <f>VLOOKUP(Table1[[#This Row],[Status]],Auxiliar!$B$16:$D$24,3,0)*Table1[[#This Row],[Estimação (horas)]]</f>
        <v>2</v>
      </c>
      <c r="X1240" s="114"/>
    </row>
    <row r="1241" spans="2:24" ht="17.7" hidden="1" customHeight="1" x14ac:dyDescent="0.25">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1344</v>
      </c>
      <c r="Q1241" s="152"/>
      <c r="R1241" s="152">
        <v>45261</v>
      </c>
      <c r="S1241" s="152"/>
      <c r="T1241" s="152"/>
      <c r="U1241" s="152"/>
      <c r="V1241" s="152"/>
      <c r="W1241" s="2">
        <f>VLOOKUP(Table1[[#This Row],[Status]],Auxiliar!$B$16:$D$24,3,0)*Table1[[#This Row],[Estimação (horas)]]</f>
        <v>0.1</v>
      </c>
      <c r="X1241" s="114"/>
    </row>
    <row r="1242" spans="2:24" ht="17.7" hidden="1" customHeight="1" x14ac:dyDescent="0.25">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1344</v>
      </c>
      <c r="Q1242" s="152"/>
      <c r="R1242" s="152">
        <v>45261</v>
      </c>
      <c r="S1242" s="152"/>
      <c r="T1242" s="152"/>
      <c r="U1242" s="152"/>
      <c r="V1242" s="152"/>
      <c r="W1242" s="2">
        <f>VLOOKUP(Table1[[#This Row],[Status]],Auxiliar!$B$16:$D$24,3,0)*Table1[[#This Row],[Estimação (horas)]]</f>
        <v>2</v>
      </c>
      <c r="X1242" s="114"/>
    </row>
    <row r="1243" spans="2:24" ht="17.7" hidden="1" customHeight="1" x14ac:dyDescent="0.25">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1344</v>
      </c>
      <c r="Q1243" s="152"/>
      <c r="R1243" s="152">
        <v>45261</v>
      </c>
      <c r="S1243" s="152"/>
      <c r="T1243" s="152"/>
      <c r="U1243" s="152"/>
      <c r="V1243" s="152"/>
      <c r="W1243" s="2">
        <f>VLOOKUP(Table1[[#This Row],[Status]],Auxiliar!$B$16:$D$24,3,0)*Table1[[#This Row],[Estimação (horas)]]</f>
        <v>2</v>
      </c>
      <c r="X1243" s="114"/>
    </row>
    <row r="1244" spans="2:24" ht="17.7" hidden="1" customHeight="1" x14ac:dyDescent="0.25">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1344</v>
      </c>
      <c r="Q1244" s="152"/>
      <c r="R1244" s="152">
        <v>45261</v>
      </c>
      <c r="S1244" s="152"/>
      <c r="T1244" s="152"/>
      <c r="U1244" s="152"/>
      <c r="V1244" s="152"/>
      <c r="W1244" s="2">
        <f>VLOOKUP(Table1[[#This Row],[Status]],Auxiliar!$B$16:$D$24,3,0)*Table1[[#This Row],[Estimação (horas)]]</f>
        <v>0.1</v>
      </c>
      <c r="X1244" s="114"/>
    </row>
    <row r="1245" spans="2:24" ht="17.7" hidden="1" customHeight="1" x14ac:dyDescent="0.25">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1344</v>
      </c>
      <c r="Q1245" s="152"/>
      <c r="R1245" s="152">
        <v>45261</v>
      </c>
      <c r="S1245" s="152"/>
      <c r="T1245" s="152"/>
      <c r="U1245" s="152"/>
      <c r="V1245" s="152"/>
      <c r="W1245" s="2">
        <f>VLOOKUP(Table1[[#This Row],[Status]],Auxiliar!$B$16:$D$24,3,0)*Table1[[#This Row],[Estimação (horas)]]</f>
        <v>2</v>
      </c>
      <c r="X1245" s="114"/>
    </row>
    <row r="1246" spans="2:24" ht="17.7" hidden="1" customHeight="1" x14ac:dyDescent="0.25">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1344</v>
      </c>
      <c r="Q1246" s="152"/>
      <c r="R1246" s="152">
        <v>45261</v>
      </c>
      <c r="S1246" s="152"/>
      <c r="T1246" s="152"/>
      <c r="U1246" s="152"/>
      <c r="V1246" s="152"/>
      <c r="W1246" s="2">
        <f>VLOOKUP(Table1[[#This Row],[Status]],Auxiliar!$B$16:$D$24,3,0)*Table1[[#This Row],[Estimação (horas)]]</f>
        <v>2</v>
      </c>
      <c r="X1246" s="114"/>
    </row>
    <row r="1247" spans="2:24" ht="17.7" hidden="1" customHeight="1" x14ac:dyDescent="0.25">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1344</v>
      </c>
      <c r="Q1247" s="152"/>
      <c r="R1247" s="152">
        <v>45261</v>
      </c>
      <c r="S1247" s="152"/>
      <c r="T1247" s="152"/>
      <c r="U1247" s="152"/>
      <c r="V1247" s="152"/>
      <c r="W1247" s="2">
        <f>VLOOKUP(Table1[[#This Row],[Status]],Auxiliar!$B$16:$D$24,3,0)*Table1[[#This Row],[Estimação (horas)]]</f>
        <v>0.1</v>
      </c>
      <c r="X1247" s="114"/>
    </row>
    <row r="1248" spans="2:24" ht="17.7" hidden="1" customHeight="1" x14ac:dyDescent="0.25">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1344</v>
      </c>
      <c r="Q1248" s="152"/>
      <c r="R1248" s="152">
        <v>45261</v>
      </c>
      <c r="S1248" s="152"/>
      <c r="T1248" s="152"/>
      <c r="U1248" s="152"/>
      <c r="V1248" s="152"/>
      <c r="W1248" s="2">
        <f>VLOOKUP(Table1[[#This Row],[Status]],Auxiliar!$B$16:$D$24,3,0)*Table1[[#This Row],[Estimação (horas)]]</f>
        <v>2</v>
      </c>
      <c r="X1248" s="114"/>
    </row>
    <row r="1249" spans="2:24" ht="17.7" hidden="1" customHeight="1" x14ac:dyDescent="0.25">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1344</v>
      </c>
      <c r="Q1249" s="152"/>
      <c r="R1249" s="152">
        <v>45261</v>
      </c>
      <c r="S1249" s="152"/>
      <c r="T1249" s="152"/>
      <c r="U1249" s="152"/>
      <c r="V1249" s="152"/>
      <c r="W1249" s="2">
        <f>VLOOKUP(Table1[[#This Row],[Status]],Auxiliar!$B$16:$D$24,3,0)*Table1[[#This Row],[Estimação (horas)]]</f>
        <v>2</v>
      </c>
      <c r="X1249" s="114"/>
    </row>
    <row r="1250" spans="2:24" ht="17.7" hidden="1" customHeight="1" x14ac:dyDescent="0.25">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1344</v>
      </c>
      <c r="Q1250" s="152"/>
      <c r="R1250" s="152">
        <v>45261</v>
      </c>
      <c r="S1250" s="152"/>
      <c r="T1250" s="152"/>
      <c r="U1250" s="152"/>
      <c r="V1250" s="152"/>
      <c r="W1250" s="2">
        <f>VLOOKUP(Table1[[#This Row],[Status]],Auxiliar!$B$16:$D$24,3,0)*Table1[[#This Row],[Estimação (horas)]]</f>
        <v>0.1</v>
      </c>
      <c r="X1250" s="114"/>
    </row>
    <row r="1251" spans="2:24" ht="17.7" hidden="1" customHeight="1" x14ac:dyDescent="0.25">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1344</v>
      </c>
      <c r="Q1251" s="152"/>
      <c r="R1251" s="152">
        <v>45261</v>
      </c>
      <c r="S1251" s="152"/>
      <c r="T1251" s="152"/>
      <c r="U1251" s="152"/>
      <c r="V1251" s="152"/>
      <c r="W1251" s="2">
        <f>VLOOKUP(Table1[[#This Row],[Status]],Auxiliar!$B$16:$D$24,3,0)*Table1[[#This Row],[Estimação (horas)]]</f>
        <v>2</v>
      </c>
      <c r="X1251" s="114"/>
    </row>
    <row r="1252" spans="2:24" ht="17.7" hidden="1" customHeight="1" x14ac:dyDescent="0.25">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1344</v>
      </c>
      <c r="Q1252" s="152"/>
      <c r="R1252" s="152">
        <v>45261</v>
      </c>
      <c r="S1252" s="152"/>
      <c r="T1252" s="152"/>
      <c r="U1252" s="152"/>
      <c r="V1252" s="152"/>
      <c r="W1252" s="2">
        <f>VLOOKUP(Table1[[#This Row],[Status]],Auxiliar!$B$16:$D$24,3,0)*Table1[[#This Row],[Estimação (horas)]]</f>
        <v>2</v>
      </c>
      <c r="X1252" s="114"/>
    </row>
    <row r="1253" spans="2:24" ht="17.7" hidden="1" customHeight="1" x14ac:dyDescent="0.25">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1344</v>
      </c>
      <c r="Q1253" s="152"/>
      <c r="R1253" s="152">
        <v>45261</v>
      </c>
      <c r="S1253" s="152"/>
      <c r="T1253" s="152"/>
      <c r="U1253" s="152"/>
      <c r="V1253" s="152"/>
      <c r="W1253" s="2">
        <f>VLOOKUP(Table1[[#This Row],[Status]],Auxiliar!$B$16:$D$24,3,0)*Table1[[#This Row],[Estimação (horas)]]</f>
        <v>0.1</v>
      </c>
      <c r="X1253" s="114"/>
    </row>
    <row r="1254" spans="2:24" ht="17.7" hidden="1" customHeight="1" x14ac:dyDescent="0.25">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1344</v>
      </c>
      <c r="Q1254" s="152"/>
      <c r="R1254" s="152">
        <v>45261</v>
      </c>
      <c r="S1254" s="152"/>
      <c r="T1254" s="152"/>
      <c r="U1254" s="152"/>
      <c r="V1254" s="152"/>
      <c r="W1254" s="2">
        <f>VLOOKUP(Table1[[#This Row],[Status]],Auxiliar!$B$16:$D$24,3,0)*Table1[[#This Row],[Estimação (horas)]]</f>
        <v>2</v>
      </c>
      <c r="X1254" s="114"/>
    </row>
    <row r="1255" spans="2:24" ht="17.7" hidden="1" customHeight="1" x14ac:dyDescent="0.25">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1344</v>
      </c>
      <c r="Q1255" s="152"/>
      <c r="R1255" s="152">
        <v>45261</v>
      </c>
      <c r="S1255" s="152"/>
      <c r="T1255" s="152"/>
      <c r="U1255" s="152"/>
      <c r="V1255" s="152"/>
      <c r="W1255" s="2">
        <f>VLOOKUP(Table1[[#This Row],[Status]],Auxiliar!$B$16:$D$24,3,0)*Table1[[#This Row],[Estimação (horas)]]</f>
        <v>2</v>
      </c>
      <c r="X1255" s="114"/>
    </row>
    <row r="1256" spans="2:24" ht="17.7" hidden="1" customHeight="1" x14ac:dyDescent="0.25">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1344</v>
      </c>
      <c r="Q1256" s="152"/>
      <c r="R1256" s="152">
        <v>45261</v>
      </c>
      <c r="S1256" s="152"/>
      <c r="T1256" s="152"/>
      <c r="U1256" s="152"/>
      <c r="V1256" s="152"/>
      <c r="W1256" s="2">
        <f>VLOOKUP(Table1[[#This Row],[Status]],Auxiliar!$B$16:$D$24,3,0)*Table1[[#This Row],[Estimação (horas)]]</f>
        <v>0.1</v>
      </c>
      <c r="X1256" s="114"/>
    </row>
    <row r="1257" spans="2:24" ht="17.7" hidden="1" customHeight="1" x14ac:dyDescent="0.25">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x14ac:dyDescent="0.25">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x14ac:dyDescent="0.25">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x14ac:dyDescent="0.25">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x14ac:dyDescent="0.25">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x14ac:dyDescent="0.25">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x14ac:dyDescent="0.25">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x14ac:dyDescent="0.25">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x14ac:dyDescent="0.25">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x14ac:dyDescent="0.25">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x14ac:dyDescent="0.25">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x14ac:dyDescent="0.25">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x14ac:dyDescent="0.25">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x14ac:dyDescent="0.25">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x14ac:dyDescent="0.25">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x14ac:dyDescent="0.25">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x14ac:dyDescent="0.25">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x14ac:dyDescent="0.25">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x14ac:dyDescent="0.25">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x14ac:dyDescent="0.25">
      <c r="B1276" s="39" t="s">
        <v>26</v>
      </c>
      <c r="C1276" s="39" t="s">
        <v>26</v>
      </c>
      <c r="D1276" s="13" t="s">
        <v>31</v>
      </c>
      <c r="E1276" s="112" t="s">
        <v>38</v>
      </c>
      <c r="F1276" s="2" t="s">
        <v>1965</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x14ac:dyDescent="0.25">
      <c r="B1277" s="39" t="s">
        <v>26</v>
      </c>
      <c r="C1277" s="39" t="s">
        <v>26</v>
      </c>
      <c r="D1277" s="13" t="s">
        <v>31</v>
      </c>
      <c r="E1277" s="112" t="s">
        <v>38</v>
      </c>
      <c r="F1277" s="2" t="s">
        <v>1965</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x14ac:dyDescent="0.25">
      <c r="B1278" s="39" t="s">
        <v>26</v>
      </c>
      <c r="C1278" s="39" t="s">
        <v>26</v>
      </c>
      <c r="D1278" s="13" t="s">
        <v>31</v>
      </c>
      <c r="E1278" s="112" t="s">
        <v>38</v>
      </c>
      <c r="F1278" s="2" t="s">
        <v>380</v>
      </c>
      <c r="G1278" s="13" t="s">
        <v>421</v>
      </c>
      <c r="H1278" s="59" t="str">
        <f>Table1[[#This Row],[Tabela]]&amp;Table1[[#This Row],[Campo]]</f>
        <v>lt002_instrumentgrss_intrst_incm</v>
      </c>
      <c r="I1278" s="2" t="s">
        <v>1931</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x14ac:dyDescent="0.25">
      <c r="B1279" s="39" t="s">
        <v>26</v>
      </c>
      <c r="C1279" s="39" t="s">
        <v>26</v>
      </c>
      <c r="D1279" s="13" t="s">
        <v>31</v>
      </c>
      <c r="E1279" s="112" t="s">
        <v>38</v>
      </c>
      <c r="F1279" s="2" t="s">
        <v>380</v>
      </c>
      <c r="G1279" s="13" t="s">
        <v>422</v>
      </c>
      <c r="H1279" s="59" t="str">
        <f>Table1[[#This Row],[Tabela]]&amp;Table1[[#This Row],[Campo]]</f>
        <v>lt002_instrumentgrss_cmmssn_incm</v>
      </c>
      <c r="I1279" s="2" t="s">
        <v>1931</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x14ac:dyDescent="0.25">
      <c r="B1280" s="39" t="s">
        <v>26</v>
      </c>
      <c r="C1280" s="39" t="s">
        <v>26</v>
      </c>
      <c r="D1280" s="13" t="s">
        <v>31</v>
      </c>
      <c r="E1280" s="112" t="s">
        <v>38</v>
      </c>
      <c r="F1280" s="2" t="s">
        <v>380</v>
      </c>
      <c r="G1280" s="13" t="s">
        <v>423</v>
      </c>
      <c r="H1280" s="59" t="str">
        <f>Table1[[#This Row],[Tabela]]&amp;Table1[[#This Row],[Campo]]</f>
        <v>lt002_instrumentgrss_cmmssn_incm_off_blnc</v>
      </c>
      <c r="I1280" s="2" t="s">
        <v>1931</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x14ac:dyDescent="0.25">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x14ac:dyDescent="0.25">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x14ac:dyDescent="0.25">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x14ac:dyDescent="0.25">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x14ac:dyDescent="0.25">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1368</v>
      </c>
      <c r="Q1285" s="152"/>
      <c r="R1285" s="152"/>
      <c r="S1285" s="152"/>
      <c r="T1285" s="152"/>
      <c r="U1285" s="152"/>
      <c r="V1285" s="152"/>
      <c r="W1285" s="2">
        <f>VLOOKUP(Table1[[#This Row],[Status]],Auxiliar!$B$16:$D$24,3,0)*Table1[[#This Row],[Estimação (horas)]]</f>
        <v>0.1</v>
      </c>
      <c r="X1285" s="206"/>
    </row>
    <row r="1286" spans="2:24" ht="17.7" hidden="1" customHeight="1" x14ac:dyDescent="0.25">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1368</v>
      </c>
      <c r="Q1286" s="152"/>
      <c r="R1286" s="152"/>
      <c r="S1286" s="152"/>
      <c r="T1286" s="152"/>
      <c r="U1286" s="152"/>
      <c r="V1286" s="152"/>
      <c r="W1286" s="2">
        <f>VLOOKUP(Table1[[#This Row],[Status]],Auxiliar!$B$16:$D$24,3,0)*Table1[[#This Row],[Estimação (horas)]]</f>
        <v>0.1</v>
      </c>
      <c r="X1286" s="206"/>
    </row>
    <row r="1287" spans="2:24" ht="17.7" hidden="1" customHeight="1" x14ac:dyDescent="0.25">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1368</v>
      </c>
      <c r="Q1287" s="152"/>
      <c r="R1287" s="152"/>
      <c r="S1287" s="152"/>
      <c r="T1287" s="152"/>
      <c r="U1287" s="152"/>
      <c r="V1287" s="152"/>
      <c r="W1287" s="2">
        <f>VLOOKUP(Table1[[#This Row],[Status]],Auxiliar!$B$16:$D$24,3,0)*Table1[[#This Row],[Estimação (horas)]]</f>
        <v>0.1</v>
      </c>
      <c r="X1287" s="206"/>
    </row>
    <row r="1288" spans="2:24" ht="17.7" hidden="1" customHeight="1" x14ac:dyDescent="0.25">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1368</v>
      </c>
      <c r="Q1288" s="152"/>
      <c r="R1288" s="152"/>
      <c r="S1288" s="152"/>
      <c r="T1288" s="152"/>
      <c r="U1288" s="152"/>
      <c r="V1288" s="152"/>
      <c r="W1288" s="2">
        <f>VLOOKUP(Table1[[#This Row],[Status]],Auxiliar!$B$16:$D$24,3,0)*Table1[[#This Row],[Estimação (horas)]]</f>
        <v>0.1</v>
      </c>
      <c r="X1288" s="206"/>
    </row>
    <row r="1289" spans="2:24" ht="17.7" hidden="1" customHeight="1" x14ac:dyDescent="0.25">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1368</v>
      </c>
      <c r="Q1289" s="152"/>
      <c r="R1289" s="152"/>
      <c r="S1289" s="152"/>
      <c r="T1289" s="152"/>
      <c r="U1289" s="152"/>
      <c r="V1289" s="152"/>
      <c r="W1289" s="2">
        <f>VLOOKUP(Table1[[#This Row],[Status]],Auxiliar!$B$16:$D$24,3,0)*Table1[[#This Row],[Estimação (horas)]]</f>
        <v>0.1</v>
      </c>
      <c r="X1289" s="206"/>
    </row>
    <row r="1290" spans="2:24" ht="17.7" hidden="1" customHeight="1" x14ac:dyDescent="0.25">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1368</v>
      </c>
      <c r="Q1290" s="152"/>
      <c r="R1290" s="152"/>
      <c r="S1290" s="152"/>
      <c r="T1290" s="152"/>
      <c r="U1290" s="152"/>
      <c r="V1290" s="152"/>
      <c r="W1290" s="2">
        <f>VLOOKUP(Table1[[#This Row],[Status]],Auxiliar!$B$16:$D$24,3,0)*Table1[[#This Row],[Estimação (horas)]]</f>
        <v>0.1</v>
      </c>
      <c r="X1290" s="206"/>
    </row>
    <row r="1291" spans="2:24" ht="17.7" hidden="1" customHeight="1" x14ac:dyDescent="0.25">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1368</v>
      </c>
      <c r="Q1291" s="152"/>
      <c r="R1291" s="152"/>
      <c r="S1291" s="152"/>
      <c r="T1291" s="152"/>
      <c r="U1291" s="152"/>
      <c r="V1291" s="152"/>
      <c r="W1291" s="2">
        <f>VLOOKUP(Table1[[#This Row],[Status]],Auxiliar!$B$16:$D$24,3,0)*Table1[[#This Row],[Estimação (horas)]]</f>
        <v>0.1</v>
      </c>
      <c r="X1291" s="206"/>
    </row>
    <row r="1292" spans="2:24" ht="17.7" hidden="1" customHeight="1" x14ac:dyDescent="0.25">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x14ac:dyDescent="0.25">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x14ac:dyDescent="0.25">
      <c r="B1294" s="39" t="s">
        <v>26</v>
      </c>
      <c r="C1294" s="39" t="s">
        <v>26</v>
      </c>
      <c r="D1294" s="13" t="s">
        <v>400</v>
      </c>
      <c r="E1294" s="112" t="s">
        <v>38</v>
      </c>
      <c r="F1294" s="2" t="s">
        <v>369</v>
      </c>
      <c r="G1294" s="13" t="s">
        <v>434</v>
      </c>
      <c r="H1294" s="59" t="str">
        <f>Table1[[#This Row],[Tabela]]&amp;Table1[[#This Row],[Campo]]</f>
        <v>lt004_protectionprtctn_id</v>
      </c>
      <c r="I1294" s="2" t="s">
        <v>619</v>
      </c>
      <c r="J1294" s="45">
        <f>VLOOKUP(Table1[[#This Row],[Status]],Auxiliar!$B$16:$C$24,2,0)</f>
        <v>7</v>
      </c>
      <c r="K1294" s="21" t="s">
        <v>1257</v>
      </c>
      <c r="L1294" s="46" t="s">
        <v>1258</v>
      </c>
      <c r="M1294" s="21" t="s">
        <v>1259</v>
      </c>
      <c r="N1294" s="48">
        <v>45590</v>
      </c>
      <c r="O1294" s="113">
        <v>0.1</v>
      </c>
      <c r="P1294" s="2"/>
      <c r="Q1294" s="152"/>
      <c r="R1294" s="152">
        <v>45589</v>
      </c>
      <c r="S1294" s="152"/>
      <c r="T1294" s="152">
        <v>45589</v>
      </c>
      <c r="U1294" s="152">
        <v>45611</v>
      </c>
      <c r="V1294" s="152"/>
      <c r="W1294" s="2">
        <f>VLOOKUP(Table1[[#This Row],[Status]],Auxiliar!$B$16:$D$24,3,0)*Table1[[#This Row],[Estimação (horas)]]</f>
        <v>2.5000000000000001E-2</v>
      </c>
      <c r="X1294" s="206"/>
    </row>
    <row r="1295" spans="2:24" ht="17.7" hidden="1" customHeight="1" x14ac:dyDescent="0.25">
      <c r="B1295" s="39" t="s">
        <v>26</v>
      </c>
      <c r="C1295" s="39" t="s">
        <v>26</v>
      </c>
      <c r="D1295" s="13" t="s">
        <v>400</v>
      </c>
      <c r="E1295" s="112" t="s">
        <v>38</v>
      </c>
      <c r="F1295" s="2" t="s">
        <v>369</v>
      </c>
      <c r="G1295" s="13" t="s">
        <v>435</v>
      </c>
      <c r="H1295" s="59" t="str">
        <f>Table1[[#This Row],[Tabela]]&amp;Table1[[#This Row],[Campo]]</f>
        <v>lt004_protectionrl_estt_clltrl_lctn</v>
      </c>
      <c r="I1295" s="2" t="s">
        <v>619</v>
      </c>
      <c r="J1295" s="45">
        <f>VLOOKUP(Table1[[#This Row],[Status]],Auxiliar!$B$16:$C$24,2,0)</f>
        <v>7</v>
      </c>
      <c r="K1295" s="21" t="s">
        <v>1257</v>
      </c>
      <c r="L1295" s="46" t="s">
        <v>1258</v>
      </c>
      <c r="M1295" s="21" t="s">
        <v>1259</v>
      </c>
      <c r="N1295" s="48">
        <v>45590</v>
      </c>
      <c r="O1295" s="113">
        <v>0.1</v>
      </c>
      <c r="P1295" s="2"/>
      <c r="Q1295" s="152"/>
      <c r="R1295" s="152">
        <v>45589</v>
      </c>
      <c r="S1295" s="152"/>
      <c r="T1295" s="152">
        <v>45589</v>
      </c>
      <c r="U1295" s="152">
        <v>45611</v>
      </c>
      <c r="V1295" s="152"/>
      <c r="W1295" s="2">
        <f>VLOOKUP(Table1[[#This Row],[Status]],Auxiliar!$B$16:$D$24,3,0)*Table1[[#This Row],[Estimação (horas)]]</f>
        <v>2.5000000000000001E-2</v>
      </c>
      <c r="X1295" s="206"/>
    </row>
    <row r="1296" spans="2:24" ht="17.7" hidden="1" customHeight="1" x14ac:dyDescent="0.25">
      <c r="B1296" s="39" t="s">
        <v>26</v>
      </c>
      <c r="C1296" s="39" t="s">
        <v>26</v>
      </c>
      <c r="D1296" s="13" t="s">
        <v>400</v>
      </c>
      <c r="E1296" s="112" t="s">
        <v>38</v>
      </c>
      <c r="F1296" s="2" t="s">
        <v>369</v>
      </c>
      <c r="G1296" s="13" t="s">
        <v>436</v>
      </c>
      <c r="H1296" s="59" t="str">
        <f>Table1[[#This Row],[Tabela]]&amp;Table1[[#This Row],[Campo]]</f>
        <v>lt004_protectionrl_estt_pst_cd</v>
      </c>
      <c r="I1296" s="2" t="s">
        <v>619</v>
      </c>
      <c r="J1296" s="45">
        <f>VLOOKUP(Table1[[#This Row],[Status]],Auxiliar!$B$16:$C$24,2,0)</f>
        <v>7</v>
      </c>
      <c r="K1296" s="21" t="s">
        <v>1257</v>
      </c>
      <c r="L1296" s="46" t="s">
        <v>1258</v>
      </c>
      <c r="M1296" s="21" t="s">
        <v>1259</v>
      </c>
      <c r="N1296" s="48">
        <v>45590</v>
      </c>
      <c r="O1296" s="113">
        <v>0.1</v>
      </c>
      <c r="P1296" s="2"/>
      <c r="Q1296" s="152"/>
      <c r="R1296" s="152">
        <v>45589</v>
      </c>
      <c r="S1296" s="152"/>
      <c r="T1296" s="152">
        <v>45589</v>
      </c>
      <c r="U1296" s="152">
        <v>45611</v>
      </c>
      <c r="V1296" s="152"/>
      <c r="W1296" s="2">
        <f>VLOOKUP(Table1[[#This Row],[Status]],Auxiliar!$B$16:$D$24,3,0)*Table1[[#This Row],[Estimação (horas)]]</f>
        <v>2.5000000000000001E-2</v>
      </c>
      <c r="X1296" s="206"/>
    </row>
    <row r="1297" spans="2:24" ht="17.7" hidden="1" customHeight="1" x14ac:dyDescent="0.25">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t="s">
        <v>1369</v>
      </c>
      <c r="Q1297" s="152"/>
      <c r="R1297" s="152">
        <v>45603</v>
      </c>
      <c r="S1297" s="152"/>
      <c r="T1297" s="152">
        <v>45588</v>
      </c>
      <c r="U1297" s="152"/>
      <c r="V1297" s="152"/>
      <c r="W1297" s="2">
        <f>VLOOKUP(Table1[[#This Row],[Status]],Auxiliar!$B$16:$D$24,3,0)*Table1[[#This Row],[Estimação (horas)]]</f>
        <v>2.5000000000000001E-2</v>
      </c>
      <c r="X1297" s="206"/>
    </row>
    <row r="1298" spans="2:24" ht="17.7" hidden="1" customHeight="1" x14ac:dyDescent="0.25">
      <c r="B1298" s="39" t="s">
        <v>26</v>
      </c>
      <c r="C1298" s="39" t="s">
        <v>26</v>
      </c>
      <c r="D1298" s="13" t="s">
        <v>400</v>
      </c>
      <c r="E1298" s="112" t="s">
        <v>38</v>
      </c>
      <c r="F1298" s="2" t="s">
        <v>369</v>
      </c>
      <c r="G1298" s="13" t="s">
        <v>438</v>
      </c>
      <c r="H1298" s="59" t="str">
        <f>Table1[[#This Row],[Tabela]]&amp;Table1[[#This Row],[Campo]]</f>
        <v>lt004_protectionorgnl_prtctn_vl</v>
      </c>
      <c r="I1298" s="2" t="s">
        <v>619</v>
      </c>
      <c r="J1298" s="45">
        <f>VLOOKUP(Table1[[#This Row],[Status]],Auxiliar!$B$16:$C$24,2,0)</f>
        <v>7</v>
      </c>
      <c r="K1298" s="21" t="s">
        <v>1257</v>
      </c>
      <c r="L1298" s="46" t="s">
        <v>1258</v>
      </c>
      <c r="M1298" s="21" t="s">
        <v>1259</v>
      </c>
      <c r="N1298" s="48">
        <v>45596</v>
      </c>
      <c r="O1298" s="113">
        <v>0.1</v>
      </c>
      <c r="P1298" s="2"/>
      <c r="Q1298" s="152"/>
      <c r="R1298" s="152">
        <v>45595</v>
      </c>
      <c r="S1298" s="152"/>
      <c r="T1298" s="152">
        <v>45595</v>
      </c>
      <c r="U1298" s="152">
        <v>45611</v>
      </c>
      <c r="V1298" s="152"/>
      <c r="W1298" s="2">
        <f>VLOOKUP(Table1[[#This Row],[Status]],Auxiliar!$B$16:$D$24,3,0)*Table1[[#This Row],[Estimação (horas)]]</f>
        <v>2.5000000000000001E-2</v>
      </c>
      <c r="X1298" s="206"/>
    </row>
    <row r="1299" spans="2:24" ht="17.7" hidden="1" customHeight="1" x14ac:dyDescent="0.25">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x14ac:dyDescent="0.25">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1344</v>
      </c>
      <c r="Q1300" s="206"/>
      <c r="R1300" s="152"/>
      <c r="S1300" s="152"/>
      <c r="T1300" s="152"/>
      <c r="U1300" s="152"/>
      <c r="V1300" s="152"/>
      <c r="W1300" s="2">
        <f>VLOOKUP(Table1[[#This Row],[Status]],Auxiliar!$B$16:$D$24,3,0)*Table1[[#This Row],[Estimação (horas)]]</f>
        <v>0.1</v>
      </c>
      <c r="X1300" s="206"/>
    </row>
    <row r="1301" spans="2:24" ht="17.7" hidden="1" customHeight="1" x14ac:dyDescent="0.25">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x14ac:dyDescent="0.25">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x14ac:dyDescent="0.25">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x14ac:dyDescent="0.25">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x14ac:dyDescent="0.25">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x14ac:dyDescent="0.25">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x14ac:dyDescent="0.25">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x14ac:dyDescent="0.25">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x14ac:dyDescent="0.25">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x14ac:dyDescent="0.25">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x14ac:dyDescent="0.25">
      <c r="B1311" s="13" t="s">
        <v>26</v>
      </c>
      <c r="C1311" s="13" t="s">
        <v>181</v>
      </c>
      <c r="D1311" s="13" t="s">
        <v>1305</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x14ac:dyDescent="0.25">
      <c r="B1312" s="13" t="s">
        <v>26</v>
      </c>
      <c r="C1312" s="13" t="s">
        <v>181</v>
      </c>
      <c r="D1312" s="13" t="s">
        <v>1305</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x14ac:dyDescent="0.25">
      <c r="B1313" s="13" t="s">
        <v>26</v>
      </c>
      <c r="C1313" s="13" t="s">
        <v>181</v>
      </c>
      <c r="D1313" s="13" t="s">
        <v>1305</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x14ac:dyDescent="0.25">
      <c r="B1314" s="13" t="s">
        <v>26</v>
      </c>
      <c r="C1314" s="13" t="s">
        <v>181</v>
      </c>
      <c r="D1314" s="13" t="s">
        <v>1305</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x14ac:dyDescent="0.25">
      <c r="B1315" s="13" t="s">
        <v>26</v>
      </c>
      <c r="C1315" s="13" t="s">
        <v>181</v>
      </c>
      <c r="D1315" s="13" t="s">
        <v>1305</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x14ac:dyDescent="0.25">
      <c r="B1316" s="13" t="s">
        <v>26</v>
      </c>
      <c r="C1316" s="13" t="s">
        <v>181</v>
      </c>
      <c r="D1316" s="13" t="s">
        <v>1305</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x14ac:dyDescent="0.25">
      <c r="B1317" s="13" t="s">
        <v>26</v>
      </c>
      <c r="C1317" s="13" t="s">
        <v>181</v>
      </c>
      <c r="D1317" s="13" t="s">
        <v>1305</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x14ac:dyDescent="0.25">
      <c r="B1318" s="13" t="s">
        <v>26</v>
      </c>
      <c r="C1318" s="13" t="s">
        <v>181</v>
      </c>
      <c r="D1318" s="13" t="s">
        <v>1305</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x14ac:dyDescent="0.25">
      <c r="B1319" s="13" t="s">
        <v>26</v>
      </c>
      <c r="C1319" s="13" t="s">
        <v>181</v>
      </c>
      <c r="D1319" s="13" t="s">
        <v>1305</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x14ac:dyDescent="0.25">
      <c r="B1320" s="20" t="s">
        <v>26</v>
      </c>
      <c r="C1320" s="20" t="s">
        <v>181</v>
      </c>
      <c r="D1320" s="13" t="s">
        <v>1305</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3" operator="containsText" id="{F0FC3167-D078-4732-B252-F6CF35A33118}">
            <xm:f>NOT(ISERROR(SEARCH(Auxiliar!$B$21,I127)))</xm:f>
            <xm:f>Auxiliar!$B$21</xm:f>
            <x14:dxf>
              <font>
                <b/>
                <i val="0"/>
                <color rgb="FFFFC000"/>
              </font>
              <fill>
                <patternFill>
                  <bgColor theme="9" tint="0.59996337778862885"/>
                </patternFill>
              </fill>
            </x14:dxf>
          </x14:cfRule>
          <x14:cfRule type="cellIs" priority="14" operator="equal" id="{0DF84132-7044-4342-A136-5BB25A806900}">
            <xm:f>Auxiliar!$B$24</xm:f>
            <x14:dxf>
              <font>
                <b/>
                <i val="0"/>
                <color theme="1"/>
              </font>
              <fill>
                <patternFill patternType="darkUp">
                  <bgColor theme="0"/>
                </patternFill>
              </fill>
            </x14:dxf>
          </x14:cfRule>
          <x14:cfRule type="cellIs" priority="15" operator="equal" id="{0AA668F3-08F2-48AD-824F-FDAAFE4C3390}">
            <xm:f>Auxiliar!$B$18</xm:f>
            <x14:dxf>
              <font>
                <b/>
                <i val="0"/>
                <color theme="0" tint="-0.499984740745262"/>
              </font>
              <fill>
                <patternFill>
                  <bgColor theme="0" tint="-4.9989318521683403E-2"/>
                </patternFill>
              </fill>
            </x14:dxf>
          </x14:cfRule>
          <x14:cfRule type="containsText" priority="1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 operator="containsText" id="{78425F7A-5AA3-4C2F-BAD5-C0F4938EE630}">
            <xm:f>NOT(ISERROR(SEARCH(Auxiliar!$B$21,I326)))</xm:f>
            <xm:f>Auxiliar!$B$21</xm:f>
            <x14:dxf>
              <font>
                <b/>
                <i val="0"/>
                <color rgb="FFFFC000"/>
              </font>
              <fill>
                <patternFill>
                  <bgColor theme="9" tint="0.59996337778862885"/>
                </patternFill>
              </fill>
            </x14:dxf>
          </x14:cfRule>
          <x14:cfRule type="cellIs" priority="2" operator="equal" id="{07546F8A-23C7-47A5-BF29-28CEDC1744EA}">
            <xm:f>Auxiliar!$B$24</xm:f>
            <x14:dxf>
              <font>
                <b/>
                <i val="0"/>
                <color theme="1"/>
              </font>
              <fill>
                <patternFill patternType="darkUp">
                  <bgColor theme="0"/>
                </patternFill>
              </fill>
            </x14:dxf>
          </x14:cfRule>
          <x14:cfRule type="cellIs" priority="3" operator="equal" id="{662A78C6-04BA-445C-914E-3C6C072F89AF}">
            <xm:f>Auxiliar!$B$18</xm:f>
            <x14:dxf>
              <font>
                <b/>
                <i val="0"/>
                <color theme="0" tint="-0.499984740745262"/>
              </font>
              <fill>
                <patternFill>
                  <bgColor theme="0" tint="-4.9989318521683403E-2"/>
                </patternFill>
              </fill>
            </x14:dxf>
          </x14:cfRule>
          <x14:cfRule type="containsText" priority="4" operator="containsText" id="{635B979F-10A5-4C22-8013-F685280EB3F8}">
            <xm:f>NOT(ISERROR(SEARCH(Auxiliar!$B$22,I326)))</xm:f>
            <xm:f>Auxiliar!$B$22</xm:f>
            <x14:dxf>
              <font>
                <b/>
                <i val="0"/>
                <color rgb="FFC00000"/>
              </font>
              <fill>
                <patternFill>
                  <bgColor theme="4" tint="0.79998168889431442"/>
                </patternFill>
              </fill>
            </x14:dxf>
          </x14:cfRule>
          <x14:cfRule type="containsText" priority="5" operator="containsText" id="{E81CA5A7-7414-4530-AF83-7D2DD95B3C68}">
            <xm:f>NOT(ISERROR(SEARCH(Auxiliar!$B$19,I326)))</xm:f>
            <xm:f>Auxiliar!$B$19</xm:f>
            <x14:dxf>
              <font>
                <b/>
                <i val="0"/>
                <color theme="9" tint="-0.499984740745262"/>
              </font>
              <fill>
                <patternFill>
                  <bgColor theme="9" tint="0.79998168889431442"/>
                </patternFill>
              </fill>
            </x14:dxf>
          </x14:cfRule>
          <x14:cfRule type="containsText" priority="6" operator="containsText" id="{29547984-E7B9-499A-95B9-5C8C7422C413}">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31" operator="containsText" id="{20A563A9-45C9-4AC0-A9D0-E0525C5783FD}">
            <xm:f>NOT(ISERROR(SEARCH(Auxiliar!$B$21,I1014)))</xm:f>
            <xm:f>Auxiliar!$B$21</xm:f>
            <x14:dxf>
              <font>
                <b/>
                <i val="0"/>
                <color rgb="FFFFC000"/>
              </font>
              <fill>
                <patternFill>
                  <bgColor theme="9" tint="0.59996337778862885"/>
                </patternFill>
              </fill>
            </x14:dxf>
          </x14:cfRule>
          <x14:cfRule type="cellIs" priority="32" operator="equal" id="{BD43A748-F00C-4772-938B-9714A9B76740}">
            <xm:f>Auxiliar!$B$24</xm:f>
            <x14:dxf>
              <font>
                <b/>
                <i val="0"/>
                <color theme="1"/>
              </font>
              <fill>
                <patternFill patternType="darkUp">
                  <bgColor theme="0"/>
                </patternFill>
              </fill>
            </x14:dxf>
          </x14:cfRule>
          <x14:cfRule type="cellIs" priority="33" operator="equal" id="{E6B33A13-E435-4B24-A09D-50CAD4AA2060}">
            <xm:f>Auxiliar!$B$18</xm:f>
            <x14:dxf>
              <font>
                <b/>
                <i val="0"/>
                <color theme="0" tint="-0.499984740745262"/>
              </font>
              <fill>
                <patternFill>
                  <bgColor theme="0" tint="-4.9989318521683403E-2"/>
                </patternFill>
              </fill>
            </x14:dxf>
          </x14:cfRule>
          <x14:cfRule type="containsText" priority="34"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35"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36"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09" operator="containsText" id="{EA2DBC0A-63DC-4CE0-8083-3A02BA7405B2}">
            <xm:f>NOT(ISERROR(SEARCH(Auxiliar!$B$21,I1216)))</xm:f>
            <xm:f>Auxiliar!$B$21</xm:f>
            <x14:dxf>
              <font>
                <b/>
                <i val="0"/>
                <color rgb="FFFFC000"/>
              </font>
              <fill>
                <patternFill>
                  <bgColor theme="9" tint="0.59996337778862885"/>
                </patternFill>
              </fill>
            </x14:dxf>
          </x14:cfRule>
          <x14:cfRule type="cellIs" priority="410" operator="equal" id="{23653787-2AE0-4EC1-9A30-571B656263BC}">
            <xm:f>Auxiliar!$B$24</xm:f>
            <x14:dxf>
              <font>
                <b/>
                <i val="0"/>
                <color theme="1"/>
              </font>
              <fill>
                <patternFill patternType="darkUp">
                  <bgColor theme="0"/>
                </patternFill>
              </fill>
            </x14:dxf>
          </x14:cfRule>
          <x14:cfRule type="cellIs" priority="411" operator="equal" id="{E978F7FE-9F98-4BCC-9C14-E320674D0714}">
            <xm:f>Auxiliar!$B$18</xm:f>
            <x14:dxf>
              <font>
                <b/>
                <i val="0"/>
                <color theme="0" tint="-0.499984740745262"/>
              </font>
              <fill>
                <patternFill>
                  <bgColor theme="0" tint="-4.9989318521683403E-2"/>
                </patternFill>
              </fill>
            </x14:dxf>
          </x14:cfRule>
          <x14:cfRule type="containsText" priority="412" operator="containsText" id="{9D606225-F38D-4BF1-9EF1-B1AD1A2C8755}">
            <xm:f>NOT(ISERROR(SEARCH(Auxiliar!$B$22,I1216)))</xm:f>
            <xm:f>Auxiliar!$B$22</xm:f>
            <x14:dxf>
              <font>
                <b/>
                <i val="0"/>
                <color rgb="FFC00000"/>
              </font>
              <fill>
                <patternFill>
                  <bgColor theme="4" tint="0.79998168889431442"/>
                </patternFill>
              </fill>
            </x14:dxf>
          </x14:cfRule>
          <x14:cfRule type="containsText" priority="413" operator="containsText" id="{355F3313-0AE6-496D-A9C5-BD428419717D}">
            <xm:f>NOT(ISERROR(SEARCH(Auxiliar!$B$19,I1216)))</xm:f>
            <xm:f>Auxiliar!$B$19</xm:f>
            <x14:dxf>
              <font>
                <b/>
                <i val="0"/>
                <color theme="9" tint="-0.499984740745262"/>
              </font>
              <fill>
                <patternFill>
                  <bgColor theme="9" tint="0.79998168889431442"/>
                </patternFill>
              </fill>
            </x14:dxf>
          </x14:cfRule>
          <x14:cfRule type="containsText" priority="414" operator="containsText" id="{7451F393-B176-435C-A1D3-1867CC57607E}">
            <xm:f>NOT(ISERROR(SEARCH(Auxiliar!$B$16,I1216)))</xm:f>
            <xm:f>Auxiliar!$B$16</xm:f>
            <x14:dxf>
              <font>
                <b/>
                <i val="0"/>
                <color theme="7"/>
              </font>
              <fill>
                <patternFill>
                  <bgColor theme="7" tint="0.79998168889431442"/>
                </patternFill>
              </fill>
            </x14:dxf>
          </x14:cfRule>
          <xm:sqref>I1216:I1217</xm:sqref>
        </x14:conditionalFormatting>
        <x14:conditionalFormatting xmlns:xm="http://schemas.microsoft.com/office/excel/2006/main">
          <x14:cfRule type="containsText" priority="427" operator="containsText" id="{75C985F8-1201-4734-A7FA-FB95C89BB4F7}">
            <xm:f>NOT(ISERROR(SEARCH(Auxiliar!$B$21,I1219)))</xm:f>
            <xm:f>Auxiliar!$B$21</xm:f>
            <x14:dxf>
              <font>
                <b/>
                <i val="0"/>
                <color rgb="FFFFC000"/>
              </font>
              <fill>
                <patternFill>
                  <bgColor theme="9" tint="0.59996337778862885"/>
                </patternFill>
              </fill>
            </x14:dxf>
          </x14:cfRule>
          <x14:cfRule type="cellIs" priority="428" operator="equal" id="{E95A66DB-73E6-49B2-92BD-E316C6A6F069}">
            <xm:f>Auxiliar!$B$24</xm:f>
            <x14:dxf>
              <font>
                <b/>
                <i val="0"/>
                <color theme="1"/>
              </font>
              <fill>
                <patternFill patternType="darkUp">
                  <bgColor theme="0"/>
                </patternFill>
              </fill>
            </x14:dxf>
          </x14:cfRule>
          <x14:cfRule type="cellIs" priority="429" operator="equal" id="{830BF99E-52B8-46DD-AB05-444E3E489AA6}">
            <xm:f>Auxiliar!$B$18</xm:f>
            <x14:dxf>
              <font>
                <b/>
                <i val="0"/>
                <color theme="0" tint="-0.499984740745262"/>
              </font>
              <fill>
                <patternFill>
                  <bgColor theme="0" tint="-4.9989318521683403E-2"/>
                </patternFill>
              </fill>
            </x14:dxf>
          </x14:cfRule>
          <x14:cfRule type="containsText" priority="430" operator="containsText" id="{D9D10E51-7717-488D-AE2F-8E3170B2B2E3}">
            <xm:f>NOT(ISERROR(SEARCH(Auxiliar!$B$22,I1219)))</xm:f>
            <xm:f>Auxiliar!$B$22</xm:f>
            <x14:dxf>
              <font>
                <b/>
                <i val="0"/>
                <color rgb="FFC00000"/>
              </font>
              <fill>
                <patternFill>
                  <bgColor theme="4" tint="0.79998168889431442"/>
                </patternFill>
              </fill>
            </x14:dxf>
          </x14:cfRule>
          <x14:cfRule type="containsText" priority="431" operator="containsText" id="{2FCFC763-9304-4995-9BE0-DE691B6D27AC}">
            <xm:f>NOT(ISERROR(SEARCH(Auxiliar!$B$19,I1219)))</xm:f>
            <xm:f>Auxiliar!$B$19</xm:f>
            <x14:dxf>
              <font>
                <b/>
                <i val="0"/>
                <color theme="9" tint="-0.499984740745262"/>
              </font>
              <fill>
                <patternFill>
                  <bgColor theme="9" tint="0.79998168889431442"/>
                </patternFill>
              </fill>
            </x14:dxf>
          </x14:cfRule>
          <x14:cfRule type="containsText" priority="432" operator="containsText" id="{572C388C-961A-4F21-9B8D-1461354E1270}">
            <xm:f>NOT(ISERROR(SEARCH(Auxiliar!$B$16,I1219)))</xm:f>
            <xm:f>Auxiliar!$B$16</xm:f>
            <x14:dxf>
              <font>
                <b/>
                <i val="0"/>
                <color theme="7"/>
              </font>
              <fill>
                <patternFill>
                  <bgColor theme="7" tint="0.79998168889431442"/>
                </patternFill>
              </fill>
            </x14:dxf>
          </x14:cfRule>
          <xm:sqref>I1219:I1220</xm:sqref>
        </x14:conditionalFormatting>
        <x14:conditionalFormatting xmlns:xm="http://schemas.microsoft.com/office/excel/2006/main">
          <x14:cfRule type="containsText" priority="439" operator="containsText" id="{10BBDEAB-9A17-4ECE-A36D-A1F49F283670}">
            <xm:f>NOT(ISERROR(SEARCH(Auxiliar!$B$21,I1222)))</xm:f>
            <xm:f>Auxiliar!$B$21</xm:f>
            <x14:dxf>
              <font>
                <b/>
                <i val="0"/>
                <color rgb="FFFFC000"/>
              </font>
              <fill>
                <patternFill>
                  <bgColor theme="9" tint="0.59996337778862885"/>
                </patternFill>
              </fill>
            </x14:dxf>
          </x14:cfRule>
          <x14:cfRule type="cellIs" priority="440" operator="equal" id="{DBF1EFFE-CFFC-4F04-AD4B-B9BCA7488094}">
            <xm:f>Auxiliar!$B$24</xm:f>
            <x14:dxf>
              <font>
                <b/>
                <i val="0"/>
                <color theme="1"/>
              </font>
              <fill>
                <patternFill patternType="darkUp">
                  <bgColor theme="0"/>
                </patternFill>
              </fill>
            </x14:dxf>
          </x14:cfRule>
          <x14:cfRule type="cellIs" priority="441" operator="equal" id="{6B07FA4C-D314-48DA-AE2B-7C2D4C78E359}">
            <xm:f>Auxiliar!$B$18</xm:f>
            <x14:dxf>
              <font>
                <b/>
                <i val="0"/>
                <color theme="0" tint="-0.499984740745262"/>
              </font>
              <fill>
                <patternFill>
                  <bgColor theme="0" tint="-4.9989318521683403E-2"/>
                </patternFill>
              </fill>
            </x14:dxf>
          </x14:cfRule>
          <x14:cfRule type="containsText" priority="442" operator="containsText" id="{5622C998-185A-4DF8-82DF-1DCBEA327F81}">
            <xm:f>NOT(ISERROR(SEARCH(Auxiliar!$B$22,I1222)))</xm:f>
            <xm:f>Auxiliar!$B$22</xm:f>
            <x14:dxf>
              <font>
                <b/>
                <i val="0"/>
                <color rgb="FFC00000"/>
              </font>
              <fill>
                <patternFill>
                  <bgColor theme="4" tint="0.79998168889431442"/>
                </patternFill>
              </fill>
            </x14:dxf>
          </x14:cfRule>
          <x14:cfRule type="containsText" priority="443" operator="containsText" id="{261B3AB1-27D9-44BB-B6F3-68184AF599C9}">
            <xm:f>NOT(ISERROR(SEARCH(Auxiliar!$B$19,I1222)))</xm:f>
            <xm:f>Auxiliar!$B$19</xm:f>
            <x14:dxf>
              <font>
                <b/>
                <i val="0"/>
                <color theme="9" tint="-0.499984740745262"/>
              </font>
              <fill>
                <patternFill>
                  <bgColor theme="9" tint="0.79998168889431442"/>
                </patternFill>
              </fill>
            </x14:dxf>
          </x14:cfRule>
          <x14:cfRule type="containsText" priority="444" operator="containsText" id="{8B245031-AA83-43E9-A004-DFAA11C2419B}">
            <xm:f>NOT(ISERROR(SEARCH(Auxiliar!$B$16,I1222)))</xm:f>
            <xm:f>Auxiliar!$B$16</xm:f>
            <x14:dxf>
              <font>
                <b/>
                <i val="0"/>
                <color theme="7"/>
              </font>
              <fill>
                <patternFill>
                  <bgColor theme="7" tint="0.79998168889431442"/>
                </patternFill>
              </fill>
            </x14:dxf>
          </x14:cfRule>
          <xm:sqref>I1222:I1223</xm:sqref>
        </x14:conditionalFormatting>
        <x14:conditionalFormatting xmlns:xm="http://schemas.microsoft.com/office/excel/2006/main">
          <x14:cfRule type="containsText" priority="451" operator="containsText" id="{10E15432-E180-42B0-8B88-FBFB1DC6AEF1}">
            <xm:f>NOT(ISERROR(SEARCH(Auxiliar!$B$21,I1225)))</xm:f>
            <xm:f>Auxiliar!$B$21</xm:f>
            <x14:dxf>
              <font>
                <b/>
                <i val="0"/>
                <color rgb="FFFFC000"/>
              </font>
              <fill>
                <patternFill>
                  <bgColor theme="9" tint="0.59996337778862885"/>
                </patternFill>
              </fill>
            </x14:dxf>
          </x14:cfRule>
          <x14:cfRule type="cellIs" priority="452" operator="equal" id="{EC8D58FC-149E-4526-8A66-55F7696A5CF4}">
            <xm:f>Auxiliar!$B$24</xm:f>
            <x14:dxf>
              <font>
                <b/>
                <i val="0"/>
                <color theme="1"/>
              </font>
              <fill>
                <patternFill patternType="darkUp">
                  <bgColor theme="0"/>
                </patternFill>
              </fill>
            </x14:dxf>
          </x14:cfRule>
          <x14:cfRule type="cellIs" priority="453" operator="equal" id="{00CD7E63-054D-4B18-8BE0-8A45325AAD57}">
            <xm:f>Auxiliar!$B$18</xm:f>
            <x14:dxf>
              <font>
                <b/>
                <i val="0"/>
                <color theme="0" tint="-0.499984740745262"/>
              </font>
              <fill>
                <patternFill>
                  <bgColor theme="0" tint="-4.9989318521683403E-2"/>
                </patternFill>
              </fill>
            </x14:dxf>
          </x14:cfRule>
          <x14:cfRule type="containsText" priority="454" operator="containsText" id="{FE640215-CD31-4BCD-A93C-942B038C373A}">
            <xm:f>NOT(ISERROR(SEARCH(Auxiliar!$B$22,I1225)))</xm:f>
            <xm:f>Auxiliar!$B$22</xm:f>
            <x14:dxf>
              <font>
                <b/>
                <i val="0"/>
                <color rgb="FFC00000"/>
              </font>
              <fill>
                <patternFill>
                  <bgColor theme="4" tint="0.79998168889431442"/>
                </patternFill>
              </fill>
            </x14:dxf>
          </x14:cfRule>
          <x14:cfRule type="containsText" priority="455" operator="containsText" id="{74B316DA-DAD4-4357-BE91-7677C2F335E7}">
            <xm:f>NOT(ISERROR(SEARCH(Auxiliar!$B$19,I1225)))</xm:f>
            <xm:f>Auxiliar!$B$19</xm:f>
            <x14:dxf>
              <font>
                <b/>
                <i val="0"/>
                <color theme="9" tint="-0.499984740745262"/>
              </font>
              <fill>
                <patternFill>
                  <bgColor theme="9" tint="0.79998168889431442"/>
                </patternFill>
              </fill>
            </x14:dxf>
          </x14:cfRule>
          <x14:cfRule type="containsText" priority="456" operator="containsText" id="{78904819-F8C6-4B22-B0CC-268A62AA79D8}">
            <xm:f>NOT(ISERROR(SEARCH(Auxiliar!$B$16,I1225)))</xm:f>
            <xm:f>Auxiliar!$B$16</xm:f>
            <x14:dxf>
              <font>
                <b/>
                <i val="0"/>
                <color theme="7"/>
              </font>
              <fill>
                <patternFill>
                  <bgColor theme="7" tint="0.79998168889431442"/>
                </patternFill>
              </fill>
            </x14:dxf>
          </x14:cfRule>
          <xm:sqref>I1225:I1226</xm:sqref>
        </x14:conditionalFormatting>
        <x14:conditionalFormatting xmlns:xm="http://schemas.microsoft.com/office/excel/2006/main">
          <x14:cfRule type="containsText" priority="463" operator="containsText" id="{6D31A4AC-B122-497F-9FC6-CE817FED866F}">
            <xm:f>NOT(ISERROR(SEARCH(Auxiliar!$B$21,I1228)))</xm:f>
            <xm:f>Auxiliar!$B$21</xm:f>
            <x14:dxf>
              <font>
                <b/>
                <i val="0"/>
                <color rgb="FFFFC000"/>
              </font>
              <fill>
                <patternFill>
                  <bgColor theme="9" tint="0.59996337778862885"/>
                </patternFill>
              </fill>
            </x14:dxf>
          </x14:cfRule>
          <x14:cfRule type="cellIs" priority="464" operator="equal" id="{BC24EA63-FCB7-41C8-8459-50E6363DD3DC}">
            <xm:f>Auxiliar!$B$24</xm:f>
            <x14:dxf>
              <font>
                <b/>
                <i val="0"/>
                <color theme="1"/>
              </font>
              <fill>
                <patternFill patternType="darkUp">
                  <bgColor theme="0"/>
                </patternFill>
              </fill>
            </x14:dxf>
          </x14:cfRule>
          <x14:cfRule type="cellIs" priority="465" operator="equal" id="{EF3405F2-F06B-40CA-90B2-7832EB88D81D}">
            <xm:f>Auxiliar!$B$18</xm:f>
            <x14:dxf>
              <font>
                <b/>
                <i val="0"/>
                <color theme="0" tint="-0.499984740745262"/>
              </font>
              <fill>
                <patternFill>
                  <bgColor theme="0" tint="-4.9989318521683403E-2"/>
                </patternFill>
              </fill>
            </x14:dxf>
          </x14:cfRule>
          <x14:cfRule type="containsText" priority="466" operator="containsText" id="{25182203-BC56-4A16-A152-9097D6F1DCBD}">
            <xm:f>NOT(ISERROR(SEARCH(Auxiliar!$B$22,I1228)))</xm:f>
            <xm:f>Auxiliar!$B$22</xm:f>
            <x14:dxf>
              <font>
                <b/>
                <i val="0"/>
                <color rgb="FFC00000"/>
              </font>
              <fill>
                <patternFill>
                  <bgColor theme="4" tint="0.79998168889431442"/>
                </patternFill>
              </fill>
            </x14:dxf>
          </x14:cfRule>
          <x14:cfRule type="containsText" priority="467" operator="containsText" id="{DD6D4548-7329-462F-9809-88230D51C569}">
            <xm:f>NOT(ISERROR(SEARCH(Auxiliar!$B$19,I1228)))</xm:f>
            <xm:f>Auxiliar!$B$19</xm:f>
            <x14:dxf>
              <font>
                <b/>
                <i val="0"/>
                <color theme="9" tint="-0.499984740745262"/>
              </font>
              <fill>
                <patternFill>
                  <bgColor theme="9" tint="0.79998168889431442"/>
                </patternFill>
              </fill>
            </x14:dxf>
          </x14:cfRule>
          <x14:cfRule type="containsText" priority="468" operator="containsText" id="{990409B1-4723-4D67-8032-B75493DAE185}">
            <xm:f>NOT(ISERROR(SEARCH(Auxiliar!$B$16,I1228)))</xm:f>
            <xm:f>Auxiliar!$B$16</xm:f>
            <x14:dxf>
              <font>
                <b/>
                <i val="0"/>
                <color theme="7"/>
              </font>
              <fill>
                <patternFill>
                  <bgColor theme="7" tint="0.79998168889431442"/>
                </patternFill>
              </fill>
            </x14:dxf>
          </x14:cfRule>
          <xm:sqref>I1228:I1256</xm:sqref>
        </x14:conditionalFormatting>
        <x14:conditionalFormatting xmlns:xm="http://schemas.microsoft.com/office/excel/2006/main">
          <x14:cfRule type="containsText" priority="403" operator="containsText" id="{EA64DC1C-861B-48F8-9621-E598024B99B0}">
            <xm:f>NOT(ISERROR(SEARCH(Auxiliar!$B$21,I1294)))</xm:f>
            <xm:f>Auxiliar!$B$21</xm:f>
            <x14:dxf>
              <font>
                <b/>
                <i val="0"/>
                <color rgb="FFFFC000"/>
              </font>
              <fill>
                <patternFill>
                  <bgColor theme="9" tint="0.59996337778862885"/>
                </patternFill>
              </fill>
            </x14:dxf>
          </x14:cfRule>
          <x14:cfRule type="cellIs" priority="404" operator="equal" id="{839A85C4-8947-4392-8D52-FE7821AB5714}">
            <xm:f>Auxiliar!$B$24</xm:f>
            <x14:dxf>
              <font>
                <b/>
                <i val="0"/>
                <color theme="1"/>
              </font>
              <fill>
                <patternFill patternType="darkUp">
                  <bgColor theme="0"/>
                </patternFill>
              </fill>
            </x14:dxf>
          </x14:cfRule>
          <x14:cfRule type="cellIs" priority="405" operator="equal" id="{AFCEA854-203F-4E0E-9E0B-A825AA0A5D6E}">
            <xm:f>Auxiliar!$B$18</xm:f>
            <x14:dxf>
              <font>
                <b/>
                <i val="0"/>
                <color theme="0" tint="-0.499984740745262"/>
              </font>
              <fill>
                <patternFill>
                  <bgColor theme="0" tint="-4.9989318521683403E-2"/>
                </patternFill>
              </fill>
            </x14:dxf>
          </x14:cfRule>
          <x14:cfRule type="containsText" priority="40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0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0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397" operator="containsText" id="{22EE3303-E871-4FDC-B876-3AC40B4BB29E}">
            <xm:f>NOT(ISERROR(SEARCH(Auxiliar!$B$21,I9)))</xm:f>
            <xm:f>Auxiliar!$B$21</xm:f>
            <x14:dxf>
              <font>
                <b/>
                <i val="0"/>
                <color rgb="FFFFC000"/>
              </font>
              <fill>
                <patternFill>
                  <bgColor theme="9" tint="0.59996337778862885"/>
                </patternFill>
              </fill>
            </x14:dxf>
          </x14:cfRule>
          <x14:cfRule type="cellIs" priority="398" operator="equal" id="{A75C795E-F66D-4DC2-A9AF-15BDCED7DA25}">
            <xm:f>Auxiliar!$B$24</xm:f>
            <x14:dxf>
              <font>
                <b/>
                <i val="0"/>
                <color theme="1"/>
              </font>
              <fill>
                <patternFill patternType="darkUp">
                  <bgColor theme="0"/>
                </patternFill>
              </fill>
            </x14:dxf>
          </x14:cfRule>
          <x14:cfRule type="cellIs" priority="399" operator="equal" id="{68C7A1CE-73C7-4D91-A2AC-1493C4E277DD}">
            <xm:f>Auxiliar!$B$18</xm:f>
            <x14:dxf>
              <font>
                <b/>
                <i val="0"/>
                <color theme="0" tint="-0.499984740745262"/>
              </font>
              <fill>
                <patternFill>
                  <bgColor theme="0" tint="-4.9989318521683403E-2"/>
                </patternFill>
              </fill>
            </x14:dxf>
          </x14:cfRule>
          <x14:cfRule type="containsText" priority="40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0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0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481" operator="containsText" id="{6928D489-0130-4A60-BE2B-1D9108B02454}">
            <xm:f>NOT(ISERROR(SEARCH(Auxiliar!$B$21,I130)))</xm:f>
            <xm:f>Auxiliar!$B$21</xm:f>
            <x14:dxf>
              <font>
                <b/>
                <i val="0"/>
                <color rgb="FFFFC000"/>
              </font>
              <fill>
                <patternFill>
                  <bgColor theme="9" tint="0.59996337778862885"/>
                </patternFill>
              </fill>
            </x14:dxf>
          </x14:cfRule>
          <x14:cfRule type="cellIs" priority="482" operator="equal" id="{E2F14AF0-878C-4184-86EE-1EC72D11FF82}">
            <xm:f>Auxiliar!$B$24</xm:f>
            <x14:dxf>
              <font>
                <b/>
                <i val="0"/>
                <color theme="1"/>
              </font>
              <fill>
                <patternFill patternType="darkUp">
                  <bgColor theme="0"/>
                </patternFill>
              </fill>
            </x14:dxf>
          </x14:cfRule>
          <x14:cfRule type="cellIs" priority="483" operator="equal" id="{662C2D77-73A6-422E-B043-D39190EAAFD3}">
            <xm:f>Auxiliar!$B$18</xm:f>
            <x14:dxf>
              <font>
                <b/>
                <i val="0"/>
                <color theme="0" tint="-0.499984740745262"/>
              </font>
              <fill>
                <patternFill>
                  <bgColor theme="0" tint="-4.9989318521683403E-2"/>
                </patternFill>
              </fill>
            </x14:dxf>
          </x14:cfRule>
          <x14:cfRule type="containsText" priority="48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48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486" operator="containsText" id="{E1F4ABAD-4246-42AD-B2CD-8E341D15C381}">
            <xm:f>NOT(ISERROR(SEARCH(Auxiliar!$B$16,I130)))</xm:f>
            <xm:f>Auxiliar!$B$16</xm:f>
            <x14:dxf>
              <font>
                <b/>
                <i val="0"/>
                <color theme="7"/>
              </font>
              <fill>
                <patternFill>
                  <bgColor theme="7" tint="0.79998168889431442"/>
                </patternFill>
              </fill>
            </x14:dxf>
          </x14:cfRule>
          <xm:sqref>I130:J325 I1080:I1145 I1170:I1172</xm:sqref>
        </x14:conditionalFormatting>
        <x14:conditionalFormatting xmlns:xm="http://schemas.microsoft.com/office/excel/2006/main">
          <x14:cfRule type="containsText" priority="547" operator="containsText" id="{A0E353A4-BC40-460B-BB47-B57EC0BDDA87}">
            <xm:f>NOT(ISERROR(SEARCH(Auxiliar!$B$21,I347)))</xm:f>
            <xm:f>Auxiliar!$B$21</xm:f>
            <x14:dxf>
              <font>
                <b/>
                <i val="0"/>
                <color rgb="FFFFC000"/>
              </font>
              <fill>
                <patternFill>
                  <bgColor theme="9" tint="0.59996337778862885"/>
                </patternFill>
              </fill>
            </x14:dxf>
          </x14:cfRule>
          <x14:cfRule type="cellIs" priority="548" operator="equal" id="{461BEC2A-3AB6-4974-9160-0CC657CD83C0}">
            <xm:f>Auxiliar!$B$24</xm:f>
            <x14:dxf>
              <font>
                <b/>
                <i val="0"/>
                <color theme="1"/>
              </font>
              <fill>
                <patternFill patternType="darkUp">
                  <bgColor theme="0"/>
                </patternFill>
              </fill>
            </x14:dxf>
          </x14:cfRule>
          <x14:cfRule type="cellIs" priority="1015" operator="equal" id="{5CC18A3F-CC0C-4983-A19C-E91C49A3DB8A}">
            <xm:f>Auxiliar!$B$18</xm:f>
            <x14:dxf>
              <font>
                <b/>
                <i val="0"/>
                <color theme="0" tint="-0.499984740745262"/>
              </font>
              <fill>
                <patternFill>
                  <bgColor theme="0" tint="-4.9989318521683403E-2"/>
                </patternFill>
              </fill>
            </x14:dxf>
          </x14:cfRule>
          <x14:cfRule type="containsText" priority="101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1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18" operator="containsText" id="{E24FE097-F3CC-4A48-80A2-F7619DECA0EF}">
            <xm:f>NOT(ISERROR(SEARCH(Auxiliar!$B$16,I347)))</xm:f>
            <xm:f>Auxiliar!$B$16</xm:f>
            <x14:dxf>
              <font>
                <b/>
                <i val="0"/>
                <color theme="7"/>
              </font>
              <fill>
                <patternFill>
                  <bgColor theme="7" tint="0.79998168889431442"/>
                </patternFill>
              </fill>
            </x14:dxf>
          </x14:cfRule>
          <xm:sqref>I347:J1013 J1014:J1070 I1071:J1079 J1080:J1145 I1146:J1169 J1170:J1172 I1173:J1215 J1216:J1217 I1218:J1218 J1219:J1220 I1221:J1221 J1222:J1223 I1224:J1224 J1225:J1226 I1227:J1227 J1228:J1256 I1257:J1293 J1294:J1300 I1301:J1320</xm:sqref>
        </x14:conditionalFormatting>
        <x14:conditionalFormatting xmlns:xm="http://schemas.microsoft.com/office/excel/2006/main">
          <x14:cfRule type="containsText" priority="373" operator="containsText" id="{B9BA2292-98F1-4845-8262-A781D9352444}">
            <xm:f>NOT(ISERROR(SEARCH(Auxiliar!$B$21,J127)))</xm:f>
            <xm:f>Auxiliar!$B$21</xm:f>
            <x14:dxf>
              <font>
                <b/>
                <i val="0"/>
                <color rgb="FFFFC000"/>
              </font>
              <fill>
                <patternFill>
                  <bgColor theme="9" tint="0.59996337778862885"/>
                </patternFill>
              </fill>
            </x14:dxf>
          </x14:cfRule>
          <x14:cfRule type="cellIs" priority="374" operator="equal" id="{D32B9961-C82B-426A-A975-2475FFC80C76}">
            <xm:f>Auxiliar!$B$24</xm:f>
            <x14:dxf>
              <font>
                <b/>
                <i val="0"/>
                <color theme="1"/>
              </font>
              <fill>
                <patternFill patternType="darkUp">
                  <bgColor theme="0"/>
                </patternFill>
              </fill>
            </x14:dxf>
          </x14:cfRule>
          <x14:cfRule type="cellIs" priority="375" operator="equal" id="{EE9F5D7D-A515-4B4F-859E-E804329C9CE0}">
            <xm:f>Auxiliar!$B$18</xm:f>
            <x14:dxf>
              <font>
                <b/>
                <i val="0"/>
                <color theme="0" tint="-0.499984740745262"/>
              </font>
              <fill>
                <patternFill>
                  <bgColor theme="0" tint="-4.9989318521683403E-2"/>
                </patternFill>
              </fill>
            </x14:dxf>
          </x14:cfRule>
          <x14:cfRule type="containsText" priority="37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37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37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499" operator="containsText" id="{576165AC-18FE-49D8-90D0-249BF5B7AAD2}">
            <xm:f>NOT(ISERROR(SEARCH(Auxiliar!$B$21,J326)))</xm:f>
            <xm:f>Auxiliar!$B$21</xm:f>
            <x14:dxf>
              <font>
                <b/>
                <i val="0"/>
                <color rgb="FFFFC000"/>
              </font>
              <fill>
                <patternFill>
                  <bgColor theme="9" tint="0.59996337778862885"/>
                </patternFill>
              </fill>
            </x14:dxf>
          </x14:cfRule>
          <x14:cfRule type="cellIs" priority="500" operator="equal" id="{2BEF1854-999B-428C-B198-117A6D75B6CF}">
            <xm:f>Auxiliar!$B$24</xm:f>
            <x14:dxf>
              <font>
                <b/>
                <i val="0"/>
                <color theme="1"/>
              </font>
              <fill>
                <patternFill patternType="darkUp">
                  <bgColor theme="0"/>
                </patternFill>
              </fill>
            </x14:dxf>
          </x14:cfRule>
          <x14:cfRule type="cellIs" priority="501" operator="equal" id="{82150E9C-7DB3-4C92-B25A-09099C09088C}">
            <xm:f>Auxiliar!$B$18</xm:f>
            <x14:dxf>
              <font>
                <b/>
                <i val="0"/>
                <color theme="0" tint="-0.499984740745262"/>
              </font>
              <fill>
                <patternFill>
                  <bgColor theme="0" tint="-4.9989318521683403E-2"/>
                </patternFill>
              </fill>
            </x14:dxf>
          </x14:cfRule>
          <x14:cfRule type="containsText" priority="50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0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0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1370</v>
      </c>
      <c r="B1" s="14" t="s">
        <v>1371</v>
      </c>
      <c r="C1" s="14" t="s">
        <v>1372</v>
      </c>
      <c r="D1" s="14" t="s">
        <v>1373</v>
      </c>
      <c r="E1" s="14" t="s">
        <v>1374</v>
      </c>
      <c r="F1" s="14" t="s">
        <v>1375</v>
      </c>
      <c r="G1" s="14" t="s">
        <v>1376</v>
      </c>
      <c r="H1" s="14" t="s">
        <v>1377</v>
      </c>
      <c r="I1" s="14" t="s">
        <v>1378</v>
      </c>
      <c r="J1" s="14" t="s">
        <v>1379</v>
      </c>
      <c r="K1" s="14" t="s">
        <v>1380</v>
      </c>
    </row>
    <row r="2" spans="1:11" x14ac:dyDescent="0.25">
      <c r="A2" s="16" t="str">
        <f>VLOOKUP(E2,Table1[[#All],[Campo]],1,0)</f>
        <v>cod_soc</v>
      </c>
      <c r="B2" s="14" t="s">
        <v>1381</v>
      </c>
      <c r="C2" s="14" t="s">
        <v>1382</v>
      </c>
      <c r="D2" s="14" t="s">
        <v>1383</v>
      </c>
      <c r="E2" s="14" t="s">
        <v>1384</v>
      </c>
      <c r="F2" s="14" t="s">
        <v>1385</v>
      </c>
      <c r="G2" s="14" t="s">
        <v>1386</v>
      </c>
      <c r="H2" s="14" t="s">
        <v>624</v>
      </c>
      <c r="I2" s="14">
        <v>1096295</v>
      </c>
      <c r="J2" s="14">
        <v>0</v>
      </c>
      <c r="K2" s="14">
        <v>0</v>
      </c>
    </row>
    <row r="3" spans="1:11" x14ac:dyDescent="0.25">
      <c r="A3" s="16" t="str">
        <f>VLOOKUP(E3,Table1[[#All],[Campo]],1,0)</f>
        <v>dt_rfrnc</v>
      </c>
      <c r="B3" s="14" t="s">
        <v>1387</v>
      </c>
      <c r="C3" s="14" t="s">
        <v>1388</v>
      </c>
      <c r="D3" s="14" t="s">
        <v>1383</v>
      </c>
      <c r="E3" s="14" t="s">
        <v>1389</v>
      </c>
      <c r="F3" s="14" t="s">
        <v>1390</v>
      </c>
      <c r="G3" s="14" t="s">
        <v>1386</v>
      </c>
      <c r="H3" s="14" t="s">
        <v>624</v>
      </c>
      <c r="I3" s="14">
        <v>1096295</v>
      </c>
      <c r="J3" s="14">
        <v>0</v>
      </c>
      <c r="K3" s="14">
        <v>0</v>
      </c>
    </row>
    <row r="4" spans="1:11" x14ac:dyDescent="0.25">
      <c r="A4" s="16" t="str">
        <f>VLOOKUP(E4,Table1[[#All],[Campo]],1,0)</f>
        <v>cod_soc</v>
      </c>
      <c r="B4" s="14" t="s">
        <v>1391</v>
      </c>
      <c r="C4" s="14" t="s">
        <v>1382</v>
      </c>
      <c r="D4" s="14" t="s">
        <v>1392</v>
      </c>
      <c r="E4" s="14" t="s">
        <v>1384</v>
      </c>
      <c r="F4" s="14" t="s">
        <v>1385</v>
      </c>
      <c r="G4" s="14" t="s">
        <v>1393</v>
      </c>
      <c r="H4" s="14" t="s">
        <v>624</v>
      </c>
      <c r="I4" s="14">
        <v>2490665</v>
      </c>
      <c r="J4" s="14">
        <v>0</v>
      </c>
      <c r="K4" s="14">
        <v>0</v>
      </c>
    </row>
    <row r="5" spans="1:11" x14ac:dyDescent="0.25">
      <c r="A5" s="16" t="str">
        <f>VLOOKUP(E5,Table1[[#All],[Campo]],1,0)</f>
        <v>dt_rfrnc</v>
      </c>
      <c r="B5" s="14" t="s">
        <v>1394</v>
      </c>
      <c r="C5" s="14" t="s">
        <v>1395</v>
      </c>
      <c r="D5" s="14" t="s">
        <v>1392</v>
      </c>
      <c r="E5" s="14" t="s">
        <v>1389</v>
      </c>
      <c r="F5" s="14" t="s">
        <v>1390</v>
      </c>
      <c r="G5" s="14" t="s">
        <v>1393</v>
      </c>
      <c r="H5" s="14" t="s">
        <v>624</v>
      </c>
      <c r="I5" s="14">
        <v>2490665</v>
      </c>
      <c r="J5" s="14">
        <v>0</v>
      </c>
      <c r="K5" s="14">
        <v>0</v>
      </c>
    </row>
    <row r="6" spans="1:11" x14ac:dyDescent="0.25">
      <c r="A6" s="16" t="str">
        <f>VLOOKUP(E6,Table1[[#All],[Campo]],1,0)</f>
        <v>instrmnt_id</v>
      </c>
      <c r="B6" s="14" t="s">
        <v>1396</v>
      </c>
      <c r="C6" s="14" t="s">
        <v>1397</v>
      </c>
      <c r="D6" s="14" t="s">
        <v>1392</v>
      </c>
      <c r="E6" s="14" t="s">
        <v>1398</v>
      </c>
      <c r="F6" s="14" t="s">
        <v>1385</v>
      </c>
      <c r="G6" s="14" t="s">
        <v>1393</v>
      </c>
      <c r="H6" s="14" t="s">
        <v>624</v>
      </c>
      <c r="I6" s="14">
        <v>2490665</v>
      </c>
      <c r="J6" s="14">
        <v>0</v>
      </c>
      <c r="K6" s="14">
        <v>0</v>
      </c>
    </row>
    <row r="7" spans="1:11" x14ac:dyDescent="0.25">
      <c r="A7" s="16" t="str">
        <f>VLOOKUP(E7,Table1[[#All],[Campo]],1,0)</f>
        <v>cod_soc</v>
      </c>
      <c r="B7" s="14" t="s">
        <v>1399</v>
      </c>
      <c r="C7" s="14" t="s">
        <v>1382</v>
      </c>
      <c r="D7" s="14" t="s">
        <v>1400</v>
      </c>
      <c r="E7" s="14" t="s">
        <v>1384</v>
      </c>
      <c r="F7" s="14" t="s">
        <v>1385</v>
      </c>
      <c r="G7" s="14" t="s">
        <v>1401</v>
      </c>
      <c r="H7" s="14" t="s">
        <v>624</v>
      </c>
      <c r="I7" s="14">
        <v>2002411</v>
      </c>
      <c r="J7" s="14">
        <v>0</v>
      </c>
      <c r="K7" s="14">
        <v>0</v>
      </c>
    </row>
    <row r="8" spans="1:11" x14ac:dyDescent="0.25">
      <c r="A8" s="16" t="str">
        <f>VLOOKUP(E8,Table1[[#All],[Campo]],1,0)</f>
        <v>dt_rfrnc</v>
      </c>
      <c r="B8" s="14" t="s">
        <v>1402</v>
      </c>
      <c r="C8" s="14" t="s">
        <v>1395</v>
      </c>
      <c r="D8" s="14" t="s">
        <v>1400</v>
      </c>
      <c r="E8" s="14" t="s">
        <v>1389</v>
      </c>
      <c r="F8" s="14" t="s">
        <v>1390</v>
      </c>
      <c r="G8" s="14" t="s">
        <v>1401</v>
      </c>
      <c r="H8" s="14" t="s">
        <v>624</v>
      </c>
      <c r="I8" s="14">
        <v>2002411</v>
      </c>
      <c r="J8" s="14">
        <v>0</v>
      </c>
      <c r="K8" s="14">
        <v>0</v>
      </c>
    </row>
    <row r="9" spans="1:11" x14ac:dyDescent="0.25">
      <c r="A9" s="16" t="str">
        <f>VLOOKUP(E9,Table1[[#All],[Campo]],1,0)</f>
        <v>instrmnt_id</v>
      </c>
      <c r="B9" s="14" t="s">
        <v>1403</v>
      </c>
      <c r="C9" s="14" t="s">
        <v>1397</v>
      </c>
      <c r="D9" s="14" t="s">
        <v>1400</v>
      </c>
      <c r="E9" s="14" t="s">
        <v>1398</v>
      </c>
      <c r="F9" s="14" t="s">
        <v>1385</v>
      </c>
      <c r="G9" s="14" t="s">
        <v>1401</v>
      </c>
      <c r="H9" s="14" t="s">
        <v>624</v>
      </c>
      <c r="I9" s="14">
        <v>2002411</v>
      </c>
      <c r="J9" s="14">
        <v>0</v>
      </c>
      <c r="K9" s="14">
        <v>0</v>
      </c>
    </row>
    <row r="10" spans="1:11" x14ac:dyDescent="0.25">
      <c r="A10" s="16" t="str">
        <f>VLOOKUP(E10,Table1[[#All],[Campo]],1,0)</f>
        <v>dflt_stts_instrmnt</v>
      </c>
      <c r="B10" s="14" t="s">
        <v>1404</v>
      </c>
      <c r="C10" s="14" t="s">
        <v>1405</v>
      </c>
      <c r="D10" s="14" t="s">
        <v>1406</v>
      </c>
      <c r="E10" s="14" t="s">
        <v>1407</v>
      </c>
      <c r="F10" s="14" t="s">
        <v>1408</v>
      </c>
      <c r="G10" s="14" t="s">
        <v>1401</v>
      </c>
      <c r="H10" s="14" t="s">
        <v>1409</v>
      </c>
      <c r="I10" s="14">
        <v>2002411</v>
      </c>
      <c r="J10" s="14">
        <v>96182</v>
      </c>
      <c r="K10" s="14">
        <v>4.8033000000000001</v>
      </c>
    </row>
    <row r="11" spans="1:11" x14ac:dyDescent="0.25">
      <c r="A11" s="16" t="str">
        <f>VLOOKUP(E11,Table1[[#All],[Campo]],1,0)</f>
        <v>prfrmng_stts</v>
      </c>
      <c r="B11" s="14" t="s">
        <v>1410</v>
      </c>
      <c r="C11" s="14" t="s">
        <v>1411</v>
      </c>
      <c r="D11" s="14" t="s">
        <v>1406</v>
      </c>
      <c r="E11" s="14" t="s">
        <v>1412</v>
      </c>
      <c r="F11" s="14" t="s">
        <v>1408</v>
      </c>
      <c r="G11" s="14" t="s">
        <v>1401</v>
      </c>
      <c r="H11" s="14" t="s">
        <v>624</v>
      </c>
      <c r="I11" s="14">
        <v>2002411</v>
      </c>
      <c r="J11" s="14">
        <v>0</v>
      </c>
      <c r="K11" s="14">
        <v>0</v>
      </c>
    </row>
    <row r="12" spans="1:11" x14ac:dyDescent="0.25">
      <c r="A12" s="16" t="str">
        <f>VLOOKUP(E12,Table1[[#All],[Campo]],1,0)</f>
        <v>lcl_instmrnt_id</v>
      </c>
      <c r="B12" s="14" t="s">
        <v>1413</v>
      </c>
      <c r="C12" s="14" t="s">
        <v>1414</v>
      </c>
      <c r="D12" s="14" t="s">
        <v>1400</v>
      </c>
      <c r="E12" s="14" t="s">
        <v>1415</v>
      </c>
      <c r="F12" s="14" t="s">
        <v>1385</v>
      </c>
      <c r="G12" s="14" t="s">
        <v>1401</v>
      </c>
      <c r="H12" s="14" t="s">
        <v>1409</v>
      </c>
      <c r="I12" s="14">
        <v>2002411</v>
      </c>
      <c r="J12" s="14">
        <v>2002411</v>
      </c>
      <c r="K12" s="14">
        <v>100</v>
      </c>
    </row>
    <row r="13" spans="1:11" x14ac:dyDescent="0.25">
      <c r="A13" s="16" t="str">
        <f>VLOOKUP(E13,Table1[[#All],[Campo]],1,0)</f>
        <v>sstnbl_indctr</v>
      </c>
      <c r="B13" s="14" t="s">
        <v>1416</v>
      </c>
      <c r="C13" s="14" t="s">
        <v>1417</v>
      </c>
      <c r="D13" s="14" t="s">
        <v>1406</v>
      </c>
      <c r="E13" s="14" t="s">
        <v>1418</v>
      </c>
      <c r="F13" s="14" t="s">
        <v>1419</v>
      </c>
      <c r="G13" s="14" t="s">
        <v>1401</v>
      </c>
      <c r="H13" s="14" t="s">
        <v>1409</v>
      </c>
      <c r="I13" s="14">
        <v>2002318</v>
      </c>
      <c r="J13" s="14">
        <v>2002318</v>
      </c>
      <c r="K13" s="14">
        <v>100</v>
      </c>
    </row>
    <row r="14" spans="1:11" x14ac:dyDescent="0.25">
      <c r="A14" s="16" t="str">
        <f>VLOOKUP(E14,Table1[[#All],[Campo]],1,0)</f>
        <v>sstnbl_ctgry</v>
      </c>
      <c r="B14" s="14" t="s">
        <v>1420</v>
      </c>
      <c r="C14" s="14" t="s">
        <v>1421</v>
      </c>
      <c r="D14" s="14" t="s">
        <v>1406</v>
      </c>
      <c r="E14" s="14" t="s">
        <v>1422</v>
      </c>
      <c r="F14" s="14" t="s">
        <v>1419</v>
      </c>
      <c r="G14" s="14" t="s">
        <v>1401</v>
      </c>
      <c r="H14" s="14" t="s">
        <v>1409</v>
      </c>
      <c r="I14" s="14">
        <v>2002318</v>
      </c>
      <c r="J14" s="14">
        <v>2002318</v>
      </c>
      <c r="K14" s="14">
        <v>100</v>
      </c>
    </row>
    <row r="15" spans="1:11" x14ac:dyDescent="0.25">
      <c r="A15" s="16" t="e">
        <f>VLOOKUP(E15,Table1[[#All],[Campo]],1,0)</f>
        <v>#N/A</v>
      </c>
      <c r="B15" s="14" t="s">
        <v>1423</v>
      </c>
      <c r="C15" s="14" t="s">
        <v>1424</v>
      </c>
      <c r="D15" s="14" t="s">
        <v>1406</v>
      </c>
      <c r="E15" s="14" t="s">
        <v>1425</v>
      </c>
      <c r="F15" s="14" t="s">
        <v>1419</v>
      </c>
      <c r="G15" s="14" t="s">
        <v>1401</v>
      </c>
      <c r="H15" s="14" t="s">
        <v>1409</v>
      </c>
      <c r="I15" s="14">
        <v>2002411</v>
      </c>
      <c r="J15" s="14">
        <v>2002411</v>
      </c>
      <c r="K15" s="14">
        <v>100</v>
      </c>
    </row>
    <row r="16" spans="1:11" x14ac:dyDescent="0.25">
      <c r="A16" s="16" t="e">
        <f>VLOOKUP(E16,Table1[[#All],[Campo]],1,0)</f>
        <v>#N/A</v>
      </c>
      <c r="B16" s="14" t="s">
        <v>1426</v>
      </c>
      <c r="C16" s="14" t="s">
        <v>1427</v>
      </c>
      <c r="D16" s="14" t="s">
        <v>1406</v>
      </c>
      <c r="E16" s="14" t="s">
        <v>1428</v>
      </c>
      <c r="F16" s="14" t="s">
        <v>1419</v>
      </c>
      <c r="G16" s="14" t="s">
        <v>1401</v>
      </c>
      <c r="H16" s="14" t="s">
        <v>1409</v>
      </c>
      <c r="I16" s="14">
        <v>2002411</v>
      </c>
      <c r="J16" s="14">
        <v>2002411</v>
      </c>
      <c r="K16" s="14">
        <v>100</v>
      </c>
    </row>
    <row r="17" spans="1:11" x14ac:dyDescent="0.25">
      <c r="A17" s="16" t="e">
        <f>VLOOKUP(E17,Table1[[#All],[Campo]],1,0)</f>
        <v>#N/A</v>
      </c>
      <c r="B17" s="14" t="s">
        <v>1429</v>
      </c>
      <c r="C17" s="14" t="s">
        <v>1430</v>
      </c>
      <c r="D17" s="14" t="s">
        <v>1406</v>
      </c>
      <c r="E17" s="14" t="s">
        <v>1431</v>
      </c>
      <c r="F17" s="14" t="s">
        <v>1419</v>
      </c>
      <c r="G17" s="14" t="s">
        <v>1401</v>
      </c>
      <c r="H17" s="14" t="s">
        <v>1409</v>
      </c>
      <c r="I17" s="14">
        <v>2002411</v>
      </c>
      <c r="J17" s="14">
        <v>2002411</v>
      </c>
      <c r="K17" s="14">
        <v>100</v>
      </c>
    </row>
    <row r="18" spans="1:11" x14ac:dyDescent="0.25">
      <c r="A18" s="16" t="e">
        <f>VLOOKUP(E18,Table1[[#All],[Campo]],1,0)</f>
        <v>#N/A</v>
      </c>
      <c r="B18" s="14" t="s">
        <v>1432</v>
      </c>
      <c r="C18" s="14" t="s">
        <v>1433</v>
      </c>
      <c r="D18" s="14" t="s">
        <v>1406</v>
      </c>
      <c r="E18" s="14" t="s">
        <v>1434</v>
      </c>
      <c r="F18" s="14" t="s">
        <v>1419</v>
      </c>
      <c r="G18" s="14" t="s">
        <v>1401</v>
      </c>
      <c r="H18" s="14" t="s">
        <v>1409</v>
      </c>
      <c r="I18" s="14">
        <v>2002411</v>
      </c>
      <c r="J18" s="14">
        <v>2002411</v>
      </c>
      <c r="K18" s="14">
        <v>100</v>
      </c>
    </row>
    <row r="19" spans="1:11" x14ac:dyDescent="0.25">
      <c r="A19" s="16" t="s">
        <v>1435</v>
      </c>
      <c r="B19" s="14" t="s">
        <v>1436</v>
      </c>
      <c r="C19" s="14" t="s">
        <v>1437</v>
      </c>
      <c r="D19" s="14" t="s">
        <v>1406</v>
      </c>
      <c r="E19" s="14" t="s">
        <v>1438</v>
      </c>
      <c r="F19" s="14" t="s">
        <v>1419</v>
      </c>
      <c r="G19" s="14" t="s">
        <v>1401</v>
      </c>
      <c r="H19" s="14" t="s">
        <v>1409</v>
      </c>
      <c r="I19" s="14">
        <v>2002411</v>
      </c>
      <c r="J19" s="14">
        <v>2002411</v>
      </c>
      <c r="K19" s="14">
        <v>100</v>
      </c>
    </row>
    <row r="20" spans="1:11" x14ac:dyDescent="0.25">
      <c r="A20" s="16" t="str">
        <f>VLOOKUP(E20,Table1[[#All],[Campo]],1,0)</f>
        <v>idcmb</v>
      </c>
      <c r="B20" s="14" t="s">
        <v>1439</v>
      </c>
      <c r="C20" s="14" t="s">
        <v>1440</v>
      </c>
      <c r="D20" s="14" t="s">
        <v>1400</v>
      </c>
      <c r="E20" s="14" t="s">
        <v>1441</v>
      </c>
      <c r="F20" s="14" t="s">
        <v>1385</v>
      </c>
      <c r="G20" s="14" t="s">
        <v>1401</v>
      </c>
      <c r="H20" s="14" t="s">
        <v>1409</v>
      </c>
      <c r="I20" s="14">
        <v>2002411</v>
      </c>
      <c r="J20" s="14">
        <v>1</v>
      </c>
      <c r="K20" s="14">
        <v>0</v>
      </c>
    </row>
    <row r="21" spans="1:11" x14ac:dyDescent="0.25">
      <c r="A21" s="16" t="str">
        <f>VLOOKUP(E21,Table1[[#All],[Campo]],1,0)</f>
        <v>cod_soc</v>
      </c>
      <c r="B21" s="14" t="s">
        <v>1442</v>
      </c>
      <c r="C21" s="14" t="s">
        <v>1382</v>
      </c>
      <c r="D21" s="14" t="s">
        <v>1443</v>
      </c>
      <c r="E21" s="14" t="s">
        <v>1384</v>
      </c>
      <c r="F21" s="14" t="s">
        <v>1385</v>
      </c>
      <c r="G21" s="14" t="s">
        <v>1444</v>
      </c>
      <c r="H21" s="14" t="s">
        <v>624</v>
      </c>
      <c r="I21" s="14">
        <v>731165</v>
      </c>
      <c r="J21" s="14">
        <v>0</v>
      </c>
      <c r="K21" s="14">
        <v>0</v>
      </c>
    </row>
    <row r="22" spans="1:11" x14ac:dyDescent="0.25">
      <c r="A22" s="16" t="str">
        <f>VLOOKUP(E22,Table1[[#All],[Campo]],1,0)</f>
        <v>dt_rfrnc</v>
      </c>
      <c r="B22" s="14" t="s">
        <v>1445</v>
      </c>
      <c r="C22" s="14" t="s">
        <v>1395</v>
      </c>
      <c r="D22" s="14" t="s">
        <v>1443</v>
      </c>
      <c r="E22" s="14" t="s">
        <v>1389</v>
      </c>
      <c r="F22" s="14" t="s">
        <v>1390</v>
      </c>
      <c r="G22" s="14" t="s">
        <v>1444</v>
      </c>
      <c r="H22" s="14" t="s">
        <v>624</v>
      </c>
      <c r="I22" s="14">
        <v>731165</v>
      </c>
      <c r="J22" s="14">
        <v>0</v>
      </c>
      <c r="K22" s="14">
        <v>0</v>
      </c>
    </row>
    <row r="23" spans="1:11" x14ac:dyDescent="0.25">
      <c r="A23" s="16" t="str">
        <f>VLOOKUP(E23,Table1[[#All],[Campo]],1,0)</f>
        <v>instrmnt_id</v>
      </c>
      <c r="B23" s="14" t="s">
        <v>1446</v>
      </c>
      <c r="C23" s="14" t="s">
        <v>1397</v>
      </c>
      <c r="D23" s="14" t="s">
        <v>1443</v>
      </c>
      <c r="E23" s="14" t="s">
        <v>1398</v>
      </c>
      <c r="F23" s="14" t="s">
        <v>1385</v>
      </c>
      <c r="G23" s="14" t="s">
        <v>1444</v>
      </c>
      <c r="H23" s="14" t="s">
        <v>624</v>
      </c>
      <c r="I23" s="14">
        <v>731165</v>
      </c>
      <c r="J23" s="14">
        <v>0</v>
      </c>
      <c r="K23" s="14">
        <v>0</v>
      </c>
    </row>
    <row r="24" spans="1:11" x14ac:dyDescent="0.25">
      <c r="A24" s="16" t="str">
        <f>VLOOKUP(E24,Table1[[#All],[Campo]],1,0)</f>
        <v>cod_soc</v>
      </c>
      <c r="B24" s="14" t="s">
        <v>1447</v>
      </c>
      <c r="C24" s="14" t="s">
        <v>1382</v>
      </c>
      <c r="D24" s="14" t="s">
        <v>1448</v>
      </c>
      <c r="E24" s="14" t="s">
        <v>1384</v>
      </c>
      <c r="F24" s="14" t="s">
        <v>1385</v>
      </c>
      <c r="G24" s="14" t="s">
        <v>1449</v>
      </c>
      <c r="H24" s="14" t="s">
        <v>624</v>
      </c>
      <c r="I24" s="14">
        <v>456960</v>
      </c>
      <c r="J24" s="14">
        <v>0</v>
      </c>
      <c r="K24" s="14">
        <v>0</v>
      </c>
    </row>
    <row r="25" spans="1:11" x14ac:dyDescent="0.25">
      <c r="A25" s="16" t="str">
        <f>VLOOKUP(E25,Table1[[#All],[Campo]],1,0)</f>
        <v>dt_rfrnc</v>
      </c>
      <c r="B25" s="14" t="s">
        <v>1450</v>
      </c>
      <c r="C25" s="14" t="s">
        <v>1395</v>
      </c>
      <c r="D25" s="14" t="s">
        <v>1448</v>
      </c>
      <c r="E25" s="14" t="s">
        <v>1389</v>
      </c>
      <c r="F25" s="14" t="s">
        <v>1390</v>
      </c>
      <c r="G25" s="14" t="s">
        <v>1449</v>
      </c>
      <c r="H25" s="14" t="s">
        <v>624</v>
      </c>
      <c r="I25" s="14">
        <v>456960</v>
      </c>
      <c r="J25" s="14">
        <v>0</v>
      </c>
      <c r="K25" s="14">
        <v>0</v>
      </c>
    </row>
    <row r="26" spans="1:11" x14ac:dyDescent="0.25">
      <c r="A26" s="16" t="str">
        <f>VLOOKUP(E26,Table1[[#All],[Campo]],1,0)</f>
        <v>instrmnt_id</v>
      </c>
      <c r="B26" s="14" t="s">
        <v>1451</v>
      </c>
      <c r="C26" s="14" t="s">
        <v>1452</v>
      </c>
      <c r="D26" s="14" t="s">
        <v>1406</v>
      </c>
      <c r="E26" s="14" t="s">
        <v>1398</v>
      </c>
      <c r="F26" s="14" t="s">
        <v>1453</v>
      </c>
      <c r="G26" s="14" t="s">
        <v>1454</v>
      </c>
      <c r="H26" s="14" t="s">
        <v>624</v>
      </c>
      <c r="I26" s="14">
        <v>2003033</v>
      </c>
      <c r="J26" s="14">
        <v>0</v>
      </c>
      <c r="K26" s="14">
        <v>0</v>
      </c>
    </row>
    <row r="27" spans="1:11" x14ac:dyDescent="0.25">
      <c r="A27" s="16" t="str">
        <f>VLOOKUP(E27,Table1[[#All],[Campo]],1,0)</f>
        <v>instrmnt_id</v>
      </c>
      <c r="B27" s="14" t="s">
        <v>1455</v>
      </c>
      <c r="C27" s="14" t="s">
        <v>1456</v>
      </c>
      <c r="D27" s="14" t="s">
        <v>1457</v>
      </c>
      <c r="E27" s="14" t="s">
        <v>1398</v>
      </c>
      <c r="F27" s="14" t="s">
        <v>1453</v>
      </c>
      <c r="G27" s="14" t="s">
        <v>1454</v>
      </c>
      <c r="H27" s="14" t="s">
        <v>624</v>
      </c>
      <c r="I27" s="14">
        <v>731165</v>
      </c>
      <c r="J27" s="14">
        <v>0</v>
      </c>
      <c r="K27" s="14">
        <v>0</v>
      </c>
    </row>
    <row r="28" spans="1:11" x14ac:dyDescent="0.25">
      <c r="A28" s="16" t="str">
        <f>VLOOKUP(E28,Table1[[#All],[Campo]],1,0)</f>
        <v>cod_soc</v>
      </c>
      <c r="B28" s="14" t="s">
        <v>1458</v>
      </c>
      <c r="C28" s="14" t="s">
        <v>1459</v>
      </c>
      <c r="D28" s="14" t="s">
        <v>1460</v>
      </c>
      <c r="E28" s="14" t="s">
        <v>1384</v>
      </c>
      <c r="F28" s="14" t="s">
        <v>1461</v>
      </c>
      <c r="G28" s="14" t="s">
        <v>1462</v>
      </c>
      <c r="H28" s="14" t="s">
        <v>624</v>
      </c>
      <c r="I28" s="14">
        <v>1096295</v>
      </c>
      <c r="J28" s="14">
        <v>0</v>
      </c>
      <c r="K28" s="14">
        <v>0</v>
      </c>
    </row>
    <row r="29" spans="1:11" x14ac:dyDescent="0.25">
      <c r="A29" s="16" t="str">
        <f>VLOOKUP(E29,Table1[[#All],[Campo]],1,0)</f>
        <v>dt_rfrnc</v>
      </c>
      <c r="B29" s="14" t="s">
        <v>1463</v>
      </c>
      <c r="C29" s="14" t="s">
        <v>1464</v>
      </c>
      <c r="D29" s="14" t="s">
        <v>1460</v>
      </c>
      <c r="E29" s="14" t="s">
        <v>1389</v>
      </c>
      <c r="F29" s="14" t="s">
        <v>1465</v>
      </c>
      <c r="G29" s="14" t="s">
        <v>1462</v>
      </c>
      <c r="H29" s="14" t="s">
        <v>624</v>
      </c>
      <c r="I29" s="14">
        <v>1096295</v>
      </c>
      <c r="J29" s="14">
        <v>0</v>
      </c>
      <c r="K29" s="14">
        <v>0</v>
      </c>
    </row>
    <row r="30" spans="1:11" x14ac:dyDescent="0.25">
      <c r="A30" s="16" t="str">
        <f>VLOOKUP(E30,Table1[[#All],[Campo]],1,0)</f>
        <v>cod_soc</v>
      </c>
      <c r="B30" s="14" t="s">
        <v>1466</v>
      </c>
      <c r="C30" s="14" t="s">
        <v>1459</v>
      </c>
      <c r="D30" s="14" t="s">
        <v>1467</v>
      </c>
      <c r="E30" s="14" t="s">
        <v>1384</v>
      </c>
      <c r="F30" s="14" t="s">
        <v>1461</v>
      </c>
      <c r="G30" s="14" t="s">
        <v>1468</v>
      </c>
      <c r="H30" s="14" t="s">
        <v>624</v>
      </c>
      <c r="I30" s="14">
        <v>2490665</v>
      </c>
      <c r="J30" s="14">
        <v>0</v>
      </c>
      <c r="K30" s="14">
        <v>0</v>
      </c>
    </row>
    <row r="31" spans="1:11" x14ac:dyDescent="0.25">
      <c r="A31" s="16" t="str">
        <f>VLOOKUP(E31,Table1[[#All],[Campo]],1,0)</f>
        <v>dt_rfrnc</v>
      </c>
      <c r="B31" s="14" t="s">
        <v>1469</v>
      </c>
      <c r="C31" s="14" t="s">
        <v>1470</v>
      </c>
      <c r="D31" s="14" t="s">
        <v>1467</v>
      </c>
      <c r="E31" s="14" t="s">
        <v>1389</v>
      </c>
      <c r="F31" s="14" t="s">
        <v>1465</v>
      </c>
      <c r="G31" s="14" t="s">
        <v>1468</v>
      </c>
      <c r="H31" s="14" t="s">
        <v>624</v>
      </c>
      <c r="I31" s="14">
        <v>2490665</v>
      </c>
      <c r="J31" s="14">
        <v>0</v>
      </c>
      <c r="K31" s="14">
        <v>0</v>
      </c>
    </row>
    <row r="32" spans="1:11" x14ac:dyDescent="0.25">
      <c r="A32" s="16" t="str">
        <f>VLOOKUP(E32,Table1[[#All],[Campo]],1,0)</f>
        <v>instrmnt_id</v>
      </c>
      <c r="B32" s="14" t="s">
        <v>1471</v>
      </c>
      <c r="C32" s="14" t="s">
        <v>1472</v>
      </c>
      <c r="D32" s="14" t="s">
        <v>1467</v>
      </c>
      <c r="E32" s="14" t="s">
        <v>1398</v>
      </c>
      <c r="F32" s="14" t="s">
        <v>1473</v>
      </c>
      <c r="G32" s="14" t="s">
        <v>1468</v>
      </c>
      <c r="H32" s="14" t="s">
        <v>624</v>
      </c>
      <c r="I32" s="14">
        <v>2490665</v>
      </c>
      <c r="J32" s="14">
        <v>0</v>
      </c>
      <c r="K32" s="14">
        <v>0</v>
      </c>
    </row>
    <row r="33" spans="1:11" x14ac:dyDescent="0.25">
      <c r="A33" s="16" t="str">
        <f>VLOOKUP(E33,Table1[[#All],[Campo]],1,0)</f>
        <v>cod_soc</v>
      </c>
      <c r="B33" s="14" t="s">
        <v>1474</v>
      </c>
      <c r="C33" s="14" t="s">
        <v>1459</v>
      </c>
      <c r="D33" s="14" t="s">
        <v>1406</v>
      </c>
      <c r="E33" s="14" t="s">
        <v>1384</v>
      </c>
      <c r="F33" s="14" t="s">
        <v>1461</v>
      </c>
      <c r="G33" s="14" t="s">
        <v>1475</v>
      </c>
      <c r="H33" s="14" t="s">
        <v>624</v>
      </c>
      <c r="I33" s="14">
        <v>2003033</v>
      </c>
      <c r="J33" s="14">
        <v>0</v>
      </c>
      <c r="K33" s="14">
        <v>0</v>
      </c>
    </row>
    <row r="34" spans="1:11" x14ac:dyDescent="0.25">
      <c r="A34" s="16" t="str">
        <f>VLOOKUP(E34,Table1[[#All],[Campo]],1,0)</f>
        <v>subportfolio_id</v>
      </c>
      <c r="B34" s="14" t="s">
        <v>1476</v>
      </c>
      <c r="C34" s="14" t="s">
        <v>1477</v>
      </c>
      <c r="D34" s="14" t="s">
        <v>1406</v>
      </c>
      <c r="E34" s="14" t="s">
        <v>1478</v>
      </c>
      <c r="F34" s="14" t="s">
        <v>1461</v>
      </c>
      <c r="G34" s="14" t="s">
        <v>1475</v>
      </c>
      <c r="H34" s="14" t="s">
        <v>624</v>
      </c>
      <c r="I34" s="14">
        <v>2003033</v>
      </c>
      <c r="J34" s="14">
        <v>0</v>
      </c>
      <c r="K34" s="14">
        <v>0</v>
      </c>
    </row>
    <row r="35" spans="1:11" x14ac:dyDescent="0.25">
      <c r="A35" s="16" t="str">
        <f>VLOOKUP(E35,Table1[[#All],[Campo]],1,0)</f>
        <v>dt_rfrnc</v>
      </c>
      <c r="B35" s="14" t="s">
        <v>1479</v>
      </c>
      <c r="C35" s="14" t="s">
        <v>1470</v>
      </c>
      <c r="D35" s="14" t="s">
        <v>1406</v>
      </c>
      <c r="E35" s="14" t="s">
        <v>1389</v>
      </c>
      <c r="F35" s="14" t="s">
        <v>1465</v>
      </c>
      <c r="G35" s="14" t="s">
        <v>1475</v>
      </c>
      <c r="H35" s="14" t="s">
        <v>624</v>
      </c>
      <c r="I35" s="14">
        <v>2003033</v>
      </c>
      <c r="J35" s="14">
        <v>0</v>
      </c>
      <c r="K35" s="14">
        <v>0</v>
      </c>
    </row>
    <row r="36" spans="1:11" x14ac:dyDescent="0.25">
      <c r="A36" s="16" t="str">
        <f>VLOOKUP(E36,Table1[[#All],[Campo]],1,0)</f>
        <v>instrmnt_id</v>
      </c>
      <c r="B36" s="14" t="s">
        <v>1480</v>
      </c>
      <c r="C36" s="14" t="s">
        <v>1472</v>
      </c>
      <c r="D36" s="14" t="s">
        <v>1406</v>
      </c>
      <c r="E36" s="14" t="s">
        <v>1398</v>
      </c>
      <c r="F36" s="14" t="s">
        <v>1473</v>
      </c>
      <c r="G36" s="14" t="s">
        <v>1475</v>
      </c>
      <c r="H36" s="14" t="s">
        <v>624</v>
      </c>
      <c r="I36" s="14">
        <v>2003033</v>
      </c>
      <c r="J36" s="14">
        <v>0</v>
      </c>
      <c r="K36" s="14">
        <v>0</v>
      </c>
    </row>
    <row r="37" spans="1:11" x14ac:dyDescent="0.25">
      <c r="A37" s="16" t="str">
        <f>VLOOKUP(E37,Table1[[#All],[Campo]],1,0)</f>
        <v>dflt_stts_instrmnt</v>
      </c>
      <c r="B37" s="14" t="s">
        <v>1481</v>
      </c>
      <c r="C37" s="14" t="s">
        <v>1482</v>
      </c>
      <c r="D37" s="14" t="s">
        <v>1406</v>
      </c>
      <c r="E37" s="14" t="s">
        <v>1407</v>
      </c>
      <c r="F37" s="14" t="s">
        <v>1461</v>
      </c>
      <c r="G37" s="14" t="s">
        <v>1475</v>
      </c>
      <c r="H37" s="14" t="s">
        <v>624</v>
      </c>
      <c r="I37" s="14">
        <v>2003033</v>
      </c>
      <c r="J37" s="14">
        <v>0</v>
      </c>
      <c r="K37" s="14">
        <v>0</v>
      </c>
    </row>
    <row r="38" spans="1:11" x14ac:dyDescent="0.25">
      <c r="A38" s="16" t="str">
        <f>VLOOKUP(E38,Table1[[#All],[Campo]],1,0)</f>
        <v>imprmnt_stts</v>
      </c>
      <c r="B38" s="14" t="s">
        <v>1483</v>
      </c>
      <c r="C38" s="14" t="s">
        <v>1484</v>
      </c>
      <c r="D38" s="14" t="s">
        <v>1406</v>
      </c>
      <c r="E38" s="14" t="s">
        <v>1485</v>
      </c>
      <c r="F38" s="14" t="s">
        <v>1461</v>
      </c>
      <c r="G38" s="14" t="s">
        <v>1475</v>
      </c>
      <c r="H38" s="14" t="s">
        <v>624</v>
      </c>
      <c r="I38" s="14">
        <v>2003033</v>
      </c>
      <c r="J38" s="14">
        <v>0</v>
      </c>
      <c r="K38" s="14">
        <v>0</v>
      </c>
    </row>
    <row r="39" spans="1:11" x14ac:dyDescent="0.25">
      <c r="A39" s="16" t="str">
        <f>VLOOKUP(E39,Table1[[#All],[Campo]],1,0)</f>
        <v>prfrmng_stts</v>
      </c>
      <c r="B39" s="14" t="s">
        <v>1486</v>
      </c>
      <c r="C39" s="14" t="s">
        <v>1487</v>
      </c>
      <c r="D39" s="14" t="s">
        <v>1406</v>
      </c>
      <c r="E39" s="14" t="s">
        <v>1412</v>
      </c>
      <c r="F39" s="14" t="s">
        <v>1461</v>
      </c>
      <c r="G39" s="14" t="s">
        <v>1475</v>
      </c>
      <c r="H39" s="14" t="s">
        <v>624</v>
      </c>
      <c r="I39" s="14">
        <v>2003033</v>
      </c>
      <c r="J39" s="14">
        <v>0</v>
      </c>
      <c r="K39" s="14">
        <v>0</v>
      </c>
    </row>
    <row r="40" spans="1:11" x14ac:dyDescent="0.25">
      <c r="A40" s="16" t="str">
        <f>VLOOKUP(E40,Table1[[#All],[Campo]],1,0)</f>
        <v>typ_instrmnt</v>
      </c>
      <c r="B40" s="14" t="s">
        <v>1488</v>
      </c>
      <c r="C40" s="14" t="s">
        <v>1489</v>
      </c>
      <c r="D40" s="14" t="s">
        <v>1406</v>
      </c>
      <c r="E40" s="14" t="s">
        <v>1490</v>
      </c>
      <c r="F40" s="14" t="s">
        <v>1461</v>
      </c>
      <c r="G40" s="14" t="s">
        <v>1475</v>
      </c>
      <c r="H40" s="14" t="s">
        <v>624</v>
      </c>
      <c r="I40" s="14">
        <v>2003033</v>
      </c>
      <c r="J40" s="14">
        <v>0</v>
      </c>
      <c r="K40" s="14">
        <v>0</v>
      </c>
    </row>
    <row r="41" spans="1:11" x14ac:dyDescent="0.25">
      <c r="A41" s="16" t="str">
        <f>VLOOKUP(E41,Table1[[#All],[Campo]],1,0)</f>
        <v>grss_crryng_amnt_instrmnt</v>
      </c>
      <c r="B41" s="14" t="s">
        <v>1491</v>
      </c>
      <c r="C41" s="14" t="s">
        <v>1492</v>
      </c>
      <c r="D41" s="14" t="s">
        <v>1406</v>
      </c>
      <c r="E41" s="14" t="s">
        <v>1493</v>
      </c>
      <c r="F41" s="14" t="s">
        <v>1494</v>
      </c>
      <c r="G41" s="14" t="s">
        <v>1475</v>
      </c>
      <c r="H41" s="14" t="s">
        <v>624</v>
      </c>
      <c r="I41" s="14">
        <v>2003033</v>
      </c>
      <c r="J41" s="14">
        <v>0</v>
      </c>
      <c r="K41" s="14">
        <v>0</v>
      </c>
    </row>
    <row r="42" spans="1:11" x14ac:dyDescent="0.25">
      <c r="A42" s="16" t="str">
        <f>VLOOKUP(E42,Table1[[#All],[Campo]],1,0)</f>
        <v>accmltd_chngs_fv_cr_instrmnt</v>
      </c>
      <c r="B42" s="14" t="s">
        <v>1495</v>
      </c>
      <c r="C42" s="14" t="s">
        <v>1496</v>
      </c>
      <c r="D42" s="14" t="s">
        <v>1406</v>
      </c>
      <c r="E42" s="14" t="s">
        <v>1497</v>
      </c>
      <c r="F42" s="14" t="s">
        <v>1494</v>
      </c>
      <c r="G42" s="14" t="s">
        <v>1475</v>
      </c>
      <c r="H42" s="14" t="s">
        <v>624</v>
      </c>
      <c r="I42" s="14">
        <v>2003033</v>
      </c>
      <c r="J42" s="14">
        <v>0</v>
      </c>
      <c r="K42" s="14">
        <v>0</v>
      </c>
    </row>
    <row r="43" spans="1:11" x14ac:dyDescent="0.25">
      <c r="A43" s="16" t="str">
        <f>VLOOKUP(E43,Table1[[#All],[Campo]],1,0)</f>
        <v>accntng_clssfctn</v>
      </c>
      <c r="B43" s="14" t="s">
        <v>1498</v>
      </c>
      <c r="C43" s="14" t="s">
        <v>1499</v>
      </c>
      <c r="D43" s="14" t="s">
        <v>1406</v>
      </c>
      <c r="E43" s="14" t="s">
        <v>1500</v>
      </c>
      <c r="F43" s="14" t="s">
        <v>1461</v>
      </c>
      <c r="G43" s="14" t="s">
        <v>1475</v>
      </c>
      <c r="H43" s="14" t="s">
        <v>624</v>
      </c>
      <c r="I43" s="14">
        <v>2003033</v>
      </c>
      <c r="J43" s="14">
        <v>0</v>
      </c>
      <c r="K43" s="14">
        <v>0</v>
      </c>
    </row>
    <row r="44" spans="1:11" x14ac:dyDescent="0.25">
      <c r="A44" s="16" t="e">
        <f>VLOOKUP(E44,Table1[[#All],[Campo]],1,0)</f>
        <v>#N/A</v>
      </c>
      <c r="B44" s="14" t="s">
        <v>1501</v>
      </c>
      <c r="C44" s="14" t="s">
        <v>1502</v>
      </c>
      <c r="D44" s="14" t="s">
        <v>1406</v>
      </c>
      <c r="E44" s="14" t="s">
        <v>1503</v>
      </c>
      <c r="F44" s="14" t="s">
        <v>1494</v>
      </c>
      <c r="G44" s="14" t="s">
        <v>1475</v>
      </c>
      <c r="H44" s="14" t="s">
        <v>624</v>
      </c>
      <c r="I44" s="14">
        <v>2003033</v>
      </c>
      <c r="J44" s="14">
        <v>0</v>
      </c>
      <c r="K44" s="14">
        <v>0</v>
      </c>
    </row>
    <row r="45" spans="1:11" x14ac:dyDescent="0.25">
      <c r="A45" s="16" t="e">
        <f>VLOOKUP(E45,Table1[[#All],[Campo]],1,0)</f>
        <v>#N/A</v>
      </c>
      <c r="B45" s="14" t="s">
        <v>1504</v>
      </c>
      <c r="C45" s="14" t="s">
        <v>1505</v>
      </c>
      <c r="D45" s="14" t="s">
        <v>1406</v>
      </c>
      <c r="E45" s="14" t="s">
        <v>1506</v>
      </c>
      <c r="F45" s="14" t="s">
        <v>1494</v>
      </c>
      <c r="G45" s="14" t="s">
        <v>1475</v>
      </c>
      <c r="H45" s="14" t="s">
        <v>624</v>
      </c>
      <c r="I45" s="14">
        <v>2003033</v>
      </c>
      <c r="J45" s="14">
        <v>0</v>
      </c>
      <c r="K45" s="14">
        <v>0</v>
      </c>
    </row>
    <row r="46" spans="1:11" x14ac:dyDescent="0.25">
      <c r="A46" s="16" t="e">
        <f>VLOOKUP(E46,Table1[[#All],[Campo]],1,0)</f>
        <v>#N/A</v>
      </c>
      <c r="B46" s="14" t="s">
        <v>1507</v>
      </c>
      <c r="C46" s="14" t="s">
        <v>1508</v>
      </c>
      <c r="D46" s="14" t="s">
        <v>1406</v>
      </c>
      <c r="E46" s="14" t="s">
        <v>1509</v>
      </c>
      <c r="F46" s="14" t="s">
        <v>1494</v>
      </c>
      <c r="G46" s="14" t="s">
        <v>1475</v>
      </c>
      <c r="H46" s="14" t="s">
        <v>624</v>
      </c>
      <c r="I46" s="14">
        <v>2003033</v>
      </c>
      <c r="J46" s="14">
        <v>0</v>
      </c>
      <c r="K46" s="14">
        <v>0</v>
      </c>
    </row>
    <row r="47" spans="1:11" x14ac:dyDescent="0.25">
      <c r="A47" s="16" t="str">
        <f>VLOOKUP(E47,Table1[[#All],[Campo]],1,0)</f>
        <v>accmltd_imprmnt_instrmnt</v>
      </c>
      <c r="B47" s="14" t="s">
        <v>1510</v>
      </c>
      <c r="C47" s="14" t="s">
        <v>1511</v>
      </c>
      <c r="D47" s="14" t="s">
        <v>1406</v>
      </c>
      <c r="E47" s="14" t="s">
        <v>1512</v>
      </c>
      <c r="F47" s="14" t="s">
        <v>1494</v>
      </c>
      <c r="G47" s="14" t="s">
        <v>1475</v>
      </c>
      <c r="H47" s="14" t="s">
        <v>624</v>
      </c>
      <c r="I47" s="14">
        <v>2003033</v>
      </c>
      <c r="J47" s="14">
        <v>0</v>
      </c>
      <c r="K47" s="14">
        <v>0</v>
      </c>
    </row>
    <row r="48" spans="1:11" x14ac:dyDescent="0.25">
      <c r="A48" s="16" t="e">
        <f>VLOOKUP(E48,Table1[[#All],[Campo]],1,0)</f>
        <v>#N/A</v>
      </c>
      <c r="B48" s="14" t="s">
        <v>1513</v>
      </c>
      <c r="C48" s="14" t="s">
        <v>1514</v>
      </c>
      <c r="D48" s="14" t="s">
        <v>1406</v>
      </c>
      <c r="E48" s="14" t="s">
        <v>1515</v>
      </c>
      <c r="F48" s="14" t="s">
        <v>1461</v>
      </c>
      <c r="G48" s="14" t="s">
        <v>1475</v>
      </c>
      <c r="H48" s="14" t="s">
        <v>1409</v>
      </c>
      <c r="I48" s="14">
        <v>2003033</v>
      </c>
      <c r="J48" s="14">
        <v>744</v>
      </c>
      <c r="K48" s="14">
        <v>3.7100000000000001E-2</v>
      </c>
    </row>
    <row r="49" spans="1:11" x14ac:dyDescent="0.25">
      <c r="A49" s="16" t="str">
        <f>VLOOKUP(E49,Table1[[#All],[Campo]],1,0)</f>
        <v>lcl_instmrnt_id</v>
      </c>
      <c r="B49" s="14" t="s">
        <v>1516</v>
      </c>
      <c r="C49" s="14" t="s">
        <v>1517</v>
      </c>
      <c r="D49" s="14" t="s">
        <v>1406</v>
      </c>
      <c r="E49" s="14" t="s">
        <v>1415</v>
      </c>
      <c r="F49" s="14" t="s">
        <v>1473</v>
      </c>
      <c r="G49" s="14" t="s">
        <v>1475</v>
      </c>
      <c r="H49" s="14" t="s">
        <v>624</v>
      </c>
      <c r="I49" s="14">
        <v>2003033</v>
      </c>
      <c r="J49" s="14">
        <v>0</v>
      </c>
      <c r="K49" s="14">
        <v>0</v>
      </c>
    </row>
    <row r="50" spans="1:11" x14ac:dyDescent="0.25">
      <c r="A50" s="16" t="str">
        <f>VLOOKUP(E50,Table1[[#All],[Campo]],1,0)</f>
        <v>sstnbl_indctr</v>
      </c>
      <c r="B50" s="14" t="s">
        <v>1518</v>
      </c>
      <c r="C50" s="14" t="s">
        <v>1519</v>
      </c>
      <c r="D50" s="14" t="s">
        <v>1406</v>
      </c>
      <c r="E50" s="14" t="s">
        <v>1418</v>
      </c>
      <c r="F50" s="14" t="s">
        <v>1461</v>
      </c>
      <c r="G50" s="14" t="s">
        <v>1475</v>
      </c>
      <c r="H50" s="14" t="s">
        <v>1409</v>
      </c>
      <c r="I50" s="14">
        <v>2003033</v>
      </c>
      <c r="J50" s="14">
        <v>2003033</v>
      </c>
      <c r="K50" s="14">
        <v>100</v>
      </c>
    </row>
    <row r="51" spans="1:11" x14ac:dyDescent="0.25">
      <c r="A51" s="16" t="str">
        <f>VLOOKUP(E51,Table1[[#All],[Campo]],1,0)</f>
        <v>sstnbl_ctgry</v>
      </c>
      <c r="B51" s="14" t="s">
        <v>1520</v>
      </c>
      <c r="C51" s="14" t="s">
        <v>1521</v>
      </c>
      <c r="D51" s="14" t="s">
        <v>1406</v>
      </c>
      <c r="E51" s="14" t="s">
        <v>1422</v>
      </c>
      <c r="F51" s="14" t="s">
        <v>1461</v>
      </c>
      <c r="G51" s="14" t="s">
        <v>1475</v>
      </c>
      <c r="H51" s="14" t="s">
        <v>1409</v>
      </c>
      <c r="I51" s="14">
        <v>2003033</v>
      </c>
      <c r="J51" s="14">
        <v>2003033</v>
      </c>
      <c r="K51" s="14">
        <v>100</v>
      </c>
    </row>
    <row r="52" spans="1:11" x14ac:dyDescent="0.25">
      <c r="A52" s="16" t="e">
        <f>VLOOKUP(E52,Table1[[#All],[Campo]],1,0)</f>
        <v>#N/A</v>
      </c>
      <c r="B52" s="14" t="s">
        <v>1522</v>
      </c>
      <c r="C52" s="14" t="s">
        <v>1523</v>
      </c>
      <c r="D52" s="14" t="s">
        <v>1406</v>
      </c>
      <c r="E52" s="14" t="s">
        <v>1524</v>
      </c>
      <c r="F52" s="14" t="s">
        <v>1494</v>
      </c>
      <c r="G52" s="14" t="s">
        <v>1475</v>
      </c>
      <c r="H52" s="14" t="s">
        <v>624</v>
      </c>
      <c r="I52" s="14">
        <v>2003033</v>
      </c>
      <c r="J52" s="14">
        <v>0</v>
      </c>
      <c r="K52" s="14">
        <v>0</v>
      </c>
    </row>
    <row r="53" spans="1:11" x14ac:dyDescent="0.25">
      <c r="A53" s="16" t="e">
        <f>VLOOKUP(E53,Table1[[#All],[Campo]],1,0)</f>
        <v>#N/A</v>
      </c>
      <c r="B53" s="14" t="s">
        <v>1525</v>
      </c>
      <c r="C53" s="14" t="s">
        <v>1526</v>
      </c>
      <c r="D53" s="14" t="s">
        <v>1406</v>
      </c>
      <c r="E53" s="14" t="s">
        <v>1425</v>
      </c>
      <c r="F53" s="14" t="s">
        <v>1461</v>
      </c>
      <c r="G53" s="14" t="s">
        <v>1475</v>
      </c>
      <c r="H53" s="14" t="s">
        <v>1409</v>
      </c>
      <c r="I53" s="14">
        <v>2003033</v>
      </c>
      <c r="J53" s="14">
        <v>2003033</v>
      </c>
      <c r="K53" s="14">
        <v>100</v>
      </c>
    </row>
    <row r="54" spans="1:11" x14ac:dyDescent="0.25">
      <c r="A54" s="16" t="str">
        <f>VLOOKUP(E54,Table1[[#All],[Campo]],1,0)</f>
        <v>grss_intrst_incm</v>
      </c>
      <c r="B54" s="14" t="s">
        <v>1527</v>
      </c>
      <c r="C54" s="14" t="s">
        <v>1528</v>
      </c>
      <c r="D54" s="14" t="s">
        <v>1406</v>
      </c>
      <c r="E54" s="14" t="s">
        <v>1529</v>
      </c>
      <c r="F54" s="14" t="s">
        <v>1494</v>
      </c>
      <c r="G54" s="14" t="s">
        <v>1475</v>
      </c>
      <c r="H54" s="14" t="s">
        <v>624</v>
      </c>
      <c r="I54" s="14">
        <v>2003033</v>
      </c>
      <c r="J54" s="14">
        <v>0</v>
      </c>
      <c r="K54" s="14">
        <v>0</v>
      </c>
    </row>
    <row r="55" spans="1:11" x14ac:dyDescent="0.25">
      <c r="A55" s="16" t="s">
        <v>1530</v>
      </c>
      <c r="B55" s="14" t="s">
        <v>1531</v>
      </c>
      <c r="C55" s="14" t="s">
        <v>1532</v>
      </c>
      <c r="D55" s="14" t="s">
        <v>1406</v>
      </c>
      <c r="E55" s="14" t="s">
        <v>1533</v>
      </c>
      <c r="F55" s="14" t="s">
        <v>1494</v>
      </c>
      <c r="G55" s="14" t="s">
        <v>1475</v>
      </c>
      <c r="H55" s="14" t="s">
        <v>624</v>
      </c>
      <c r="I55" s="14">
        <v>2003033</v>
      </c>
      <c r="J55" s="14">
        <v>0</v>
      </c>
      <c r="K55" s="14">
        <v>0</v>
      </c>
    </row>
    <row r="56" spans="1:11" x14ac:dyDescent="0.25">
      <c r="A56" s="16" t="e">
        <f>VLOOKUP(E56,Table1[[#All],[Campo]],1,0)</f>
        <v>#N/A</v>
      </c>
      <c r="B56" s="14" t="s">
        <v>1534</v>
      </c>
      <c r="C56" s="14" t="s">
        <v>1535</v>
      </c>
      <c r="D56" s="14" t="s">
        <v>1406</v>
      </c>
      <c r="E56" s="14" t="s">
        <v>1536</v>
      </c>
      <c r="F56" s="14" t="s">
        <v>1494</v>
      </c>
      <c r="G56" s="14" t="s">
        <v>1475</v>
      </c>
      <c r="H56" s="14" t="s">
        <v>624</v>
      </c>
      <c r="I56" s="14">
        <v>2003033</v>
      </c>
      <c r="J56" s="14">
        <v>0</v>
      </c>
      <c r="K56" s="14">
        <v>0</v>
      </c>
    </row>
    <row r="57" spans="1:11" x14ac:dyDescent="0.25">
      <c r="A57" s="16" t="e">
        <f>VLOOKUP(E57,Table1[[#All],[Campo]],1,0)</f>
        <v>#N/A</v>
      </c>
      <c r="B57" s="14" t="s">
        <v>1537</v>
      </c>
      <c r="C57" s="14" t="s">
        <v>1538</v>
      </c>
      <c r="D57" s="14" t="s">
        <v>1406</v>
      </c>
      <c r="E57" s="14" t="s">
        <v>1539</v>
      </c>
      <c r="F57" s="14" t="s">
        <v>1494</v>
      </c>
      <c r="G57" s="14" t="s">
        <v>1475</v>
      </c>
      <c r="H57" s="14" t="s">
        <v>624</v>
      </c>
      <c r="I57" s="14">
        <v>2003033</v>
      </c>
      <c r="J57" s="14">
        <v>0</v>
      </c>
      <c r="K57" s="14">
        <v>0</v>
      </c>
    </row>
    <row r="58" spans="1:11" x14ac:dyDescent="0.25">
      <c r="A58" s="16" t="e">
        <f>VLOOKUP(E58,Table1[[#All],[Campo]],1,0)</f>
        <v>#N/A</v>
      </c>
      <c r="B58" s="14" t="s">
        <v>1540</v>
      </c>
      <c r="C58" s="14" t="s">
        <v>1541</v>
      </c>
      <c r="D58" s="14" t="s">
        <v>1406</v>
      </c>
      <c r="E58" s="14" t="s">
        <v>1428</v>
      </c>
      <c r="F58" s="14" t="s">
        <v>1461</v>
      </c>
      <c r="G58" s="14" t="s">
        <v>1475</v>
      </c>
      <c r="H58" s="14" t="s">
        <v>1409</v>
      </c>
      <c r="I58" s="14">
        <v>2003033</v>
      </c>
      <c r="J58" s="14">
        <v>2003033</v>
      </c>
      <c r="K58" s="14">
        <v>100</v>
      </c>
    </row>
    <row r="59" spans="1:11" x14ac:dyDescent="0.25">
      <c r="A59" s="16" t="e">
        <f>VLOOKUP(E59,Table1[[#All],[Campo]],1,0)</f>
        <v>#N/A</v>
      </c>
      <c r="B59" s="14" t="s">
        <v>1542</v>
      </c>
      <c r="C59" s="14" t="s">
        <v>1543</v>
      </c>
      <c r="D59" s="14" t="s">
        <v>1406</v>
      </c>
      <c r="E59" s="14" t="s">
        <v>1544</v>
      </c>
      <c r="F59" s="14" t="s">
        <v>1461</v>
      </c>
      <c r="G59" s="14" t="s">
        <v>1475</v>
      </c>
      <c r="H59" s="14" t="s">
        <v>1409</v>
      </c>
      <c r="I59" s="14">
        <v>2003033</v>
      </c>
      <c r="J59" s="14">
        <v>2003033</v>
      </c>
      <c r="K59" s="14">
        <v>100</v>
      </c>
    </row>
    <row r="60" spans="1:11" x14ac:dyDescent="0.25">
      <c r="A60" s="16" t="s">
        <v>1545</v>
      </c>
      <c r="B60" s="14" t="s">
        <v>1546</v>
      </c>
      <c r="C60" s="14" t="s">
        <v>1547</v>
      </c>
      <c r="D60" s="14" t="s">
        <v>1406</v>
      </c>
      <c r="E60" s="14" t="s">
        <v>1548</v>
      </c>
      <c r="F60" s="14" t="s">
        <v>1494</v>
      </c>
      <c r="G60" s="14" t="s">
        <v>1475</v>
      </c>
      <c r="H60" s="14" t="s">
        <v>624</v>
      </c>
      <c r="I60" s="14">
        <v>2003033</v>
      </c>
      <c r="J60" s="14">
        <v>0</v>
      </c>
      <c r="K60" s="14">
        <v>0</v>
      </c>
    </row>
    <row r="61" spans="1:11" x14ac:dyDescent="0.25">
      <c r="A61" s="16" t="e">
        <f>VLOOKUP(E61,Table1[[#All],[Campo]],1,0)</f>
        <v>#N/A</v>
      </c>
      <c r="B61" s="14" t="s">
        <v>1549</v>
      </c>
      <c r="C61" s="14" t="s">
        <v>1550</v>
      </c>
      <c r="D61" s="14" t="s">
        <v>1406</v>
      </c>
      <c r="E61" s="14" t="s">
        <v>1551</v>
      </c>
      <c r="F61" s="14" t="s">
        <v>1494</v>
      </c>
      <c r="G61" s="14" t="s">
        <v>1475</v>
      </c>
      <c r="H61" s="14" t="s">
        <v>624</v>
      </c>
      <c r="I61" s="14">
        <v>2003033</v>
      </c>
      <c r="J61" s="14">
        <v>0</v>
      </c>
      <c r="K61" s="14">
        <v>0</v>
      </c>
    </row>
    <row r="62" spans="1:11" x14ac:dyDescent="0.25">
      <c r="A62" s="16" t="e">
        <f>VLOOKUP(E62,Table1[[#All],[Campo]],1,0)</f>
        <v>#N/A</v>
      </c>
      <c r="B62" s="14" t="s">
        <v>1552</v>
      </c>
      <c r="C62" s="14" t="s">
        <v>1553</v>
      </c>
      <c r="D62" s="14" t="s">
        <v>1406</v>
      </c>
      <c r="E62" s="14" t="s">
        <v>1431</v>
      </c>
      <c r="F62" s="14" t="s">
        <v>1461</v>
      </c>
      <c r="G62" s="14" t="s">
        <v>1475</v>
      </c>
      <c r="H62" s="14" t="s">
        <v>1409</v>
      </c>
      <c r="I62" s="14">
        <v>2003033</v>
      </c>
      <c r="J62" s="14">
        <v>2003033</v>
      </c>
      <c r="K62" s="14">
        <v>100</v>
      </c>
    </row>
    <row r="63" spans="1:11" x14ac:dyDescent="0.25">
      <c r="A63" s="16" t="e">
        <f>VLOOKUP(E63,Table1[[#All],[Campo]],1,0)</f>
        <v>#N/A</v>
      </c>
      <c r="B63" s="14" t="s">
        <v>1554</v>
      </c>
      <c r="C63" s="14" t="s">
        <v>1555</v>
      </c>
      <c r="D63" s="14" t="s">
        <v>1406</v>
      </c>
      <c r="E63" s="14" t="s">
        <v>1556</v>
      </c>
      <c r="F63" s="14" t="s">
        <v>1461</v>
      </c>
      <c r="G63" s="14" t="s">
        <v>1475</v>
      </c>
      <c r="H63" s="14" t="s">
        <v>1409</v>
      </c>
      <c r="I63" s="14">
        <v>2003033</v>
      </c>
      <c r="J63" s="14">
        <v>2003033</v>
      </c>
      <c r="K63" s="14">
        <v>100</v>
      </c>
    </row>
    <row r="64" spans="1:11" x14ac:dyDescent="0.25">
      <c r="A64" s="16" t="e">
        <f>VLOOKUP(E64,Table1[[#All],[Campo]],1,0)</f>
        <v>#N/A</v>
      </c>
      <c r="B64" s="14" t="s">
        <v>1557</v>
      </c>
      <c r="C64" s="14" t="s">
        <v>1558</v>
      </c>
      <c r="D64" s="14" t="s">
        <v>1406</v>
      </c>
      <c r="E64" s="14" t="s">
        <v>1559</v>
      </c>
      <c r="F64" s="14" t="s">
        <v>1461</v>
      </c>
      <c r="G64" s="14" t="s">
        <v>1475</v>
      </c>
      <c r="H64" s="14" t="s">
        <v>1409</v>
      </c>
      <c r="I64" s="14">
        <v>2003033</v>
      </c>
      <c r="J64" s="14">
        <v>2003033</v>
      </c>
      <c r="K64" s="14">
        <v>100</v>
      </c>
    </row>
    <row r="65" spans="1:11" x14ac:dyDescent="0.25">
      <c r="A65" s="16" t="e">
        <f>VLOOKUP(E65,Table1[[#All],[Campo]],1,0)</f>
        <v>#N/A</v>
      </c>
      <c r="B65" s="14" t="s">
        <v>1560</v>
      </c>
      <c r="C65" s="14" t="s">
        <v>1561</v>
      </c>
      <c r="D65" s="14" t="s">
        <v>1406</v>
      </c>
      <c r="E65" s="14" t="s">
        <v>1562</v>
      </c>
      <c r="F65" s="14" t="s">
        <v>1461</v>
      </c>
      <c r="G65" s="14" t="s">
        <v>1475</v>
      </c>
      <c r="H65" s="14" t="s">
        <v>1409</v>
      </c>
      <c r="I65" s="14">
        <v>2003033</v>
      </c>
      <c r="J65" s="14">
        <v>2003033</v>
      </c>
      <c r="K65" s="14">
        <v>100</v>
      </c>
    </row>
    <row r="66" spans="1:11" x14ac:dyDescent="0.25">
      <c r="A66" s="16" t="e">
        <f>VLOOKUP(E66,Table1[[#All],[Campo]],1,0)</f>
        <v>#N/A</v>
      </c>
      <c r="B66" s="14" t="s">
        <v>1563</v>
      </c>
      <c r="C66" s="14" t="s">
        <v>1564</v>
      </c>
      <c r="D66" s="14" t="s">
        <v>1406</v>
      </c>
      <c r="E66" s="14" t="s">
        <v>1565</v>
      </c>
      <c r="F66" s="14" t="s">
        <v>1494</v>
      </c>
      <c r="G66" s="14" t="s">
        <v>1475</v>
      </c>
      <c r="H66" s="14" t="s">
        <v>624</v>
      </c>
      <c r="I66" s="14">
        <v>2003033</v>
      </c>
      <c r="J66" s="14">
        <v>0</v>
      </c>
      <c r="K66" s="14">
        <v>0</v>
      </c>
    </row>
    <row r="67" spans="1:11" x14ac:dyDescent="0.25">
      <c r="A67" s="16" t="e">
        <f>VLOOKUP(E67,Table1[[#All],[Campo]],1,0)</f>
        <v>#N/A</v>
      </c>
      <c r="B67" s="14" t="s">
        <v>1566</v>
      </c>
      <c r="C67" s="14" t="s">
        <v>1567</v>
      </c>
      <c r="D67" s="14" t="s">
        <v>1406</v>
      </c>
      <c r="E67" s="14" t="s">
        <v>1568</v>
      </c>
      <c r="F67" s="14" t="s">
        <v>1494</v>
      </c>
      <c r="G67" s="14" t="s">
        <v>1475</v>
      </c>
      <c r="H67" s="14" t="s">
        <v>624</v>
      </c>
      <c r="I67" s="14">
        <v>2003033</v>
      </c>
      <c r="J67" s="14">
        <v>0</v>
      </c>
      <c r="K67" s="14">
        <v>0</v>
      </c>
    </row>
    <row r="68" spans="1:11" x14ac:dyDescent="0.25">
      <c r="A68" s="16" t="s">
        <v>1569</v>
      </c>
      <c r="B68" s="14" t="s">
        <v>1570</v>
      </c>
      <c r="C68" s="14" t="s">
        <v>1571</v>
      </c>
      <c r="D68" s="14" t="s">
        <v>1406</v>
      </c>
      <c r="E68" s="14" t="s">
        <v>1572</v>
      </c>
      <c r="F68" s="14" t="s">
        <v>1494</v>
      </c>
      <c r="G68" s="14" t="s">
        <v>1475</v>
      </c>
      <c r="H68" s="14" t="s">
        <v>624</v>
      </c>
      <c r="I68" s="14">
        <v>2003033</v>
      </c>
      <c r="J68" s="14">
        <v>0</v>
      </c>
      <c r="K68" s="14">
        <v>0</v>
      </c>
    </row>
    <row r="69" spans="1:11" x14ac:dyDescent="0.25">
      <c r="A69" s="16" t="s">
        <v>1573</v>
      </c>
      <c r="B69" s="14" t="s">
        <v>1574</v>
      </c>
      <c r="C69" s="14" t="s">
        <v>1575</v>
      </c>
      <c r="D69" s="14" t="s">
        <v>1406</v>
      </c>
      <c r="E69" s="14" t="s">
        <v>1576</v>
      </c>
      <c r="F69" s="14" t="s">
        <v>1494</v>
      </c>
      <c r="G69" s="14" t="s">
        <v>1475</v>
      </c>
      <c r="H69" s="14" t="s">
        <v>624</v>
      </c>
      <c r="I69" s="14">
        <v>2003033</v>
      </c>
      <c r="J69" s="14">
        <v>0</v>
      </c>
      <c r="K69" s="14">
        <v>0</v>
      </c>
    </row>
    <row r="70" spans="1:11" x14ac:dyDescent="0.25">
      <c r="A70" s="16" t="e">
        <f>VLOOKUP(E70,Table1[[#All],[Campo]],1,0)</f>
        <v>#N/A</v>
      </c>
      <c r="B70" s="14" t="s">
        <v>1577</v>
      </c>
      <c r="C70" s="14" t="s">
        <v>1578</v>
      </c>
      <c r="D70" s="14" t="s">
        <v>1406</v>
      </c>
      <c r="E70" s="14" t="s">
        <v>1579</v>
      </c>
      <c r="F70" s="14" t="s">
        <v>1494</v>
      </c>
      <c r="G70" s="14" t="s">
        <v>1475</v>
      </c>
      <c r="H70" s="14" t="s">
        <v>624</v>
      </c>
      <c r="I70" s="14">
        <v>2003033</v>
      </c>
      <c r="J70" s="14">
        <v>0</v>
      </c>
      <c r="K70" s="14">
        <v>0</v>
      </c>
    </row>
    <row r="71" spans="1:11" x14ac:dyDescent="0.25">
      <c r="A71" s="16" t="e">
        <f>VLOOKUP(E71,Table1[[#All],[Campo]],1,0)</f>
        <v>#N/A</v>
      </c>
      <c r="B71" s="14" t="s">
        <v>1580</v>
      </c>
      <c r="C71" s="14" t="s">
        <v>1581</v>
      </c>
      <c r="D71" s="14" t="s">
        <v>1406</v>
      </c>
      <c r="E71" s="14" t="s">
        <v>1582</v>
      </c>
      <c r="F71" s="14" t="s">
        <v>1494</v>
      </c>
      <c r="G71" s="14" t="s">
        <v>1475</v>
      </c>
      <c r="H71" s="14" t="s">
        <v>624</v>
      </c>
      <c r="I71" s="14">
        <v>2003033</v>
      </c>
      <c r="J71" s="14">
        <v>0</v>
      </c>
      <c r="K71" s="14">
        <v>0</v>
      </c>
    </row>
    <row r="72" spans="1:11" x14ac:dyDescent="0.25">
      <c r="A72" s="16" t="e">
        <f>VLOOKUP(E72,Table1[[#All],[Campo]],1,0)</f>
        <v>#N/A</v>
      </c>
      <c r="B72" s="14" t="s">
        <v>1583</v>
      </c>
      <c r="C72" s="14" t="s">
        <v>1584</v>
      </c>
      <c r="D72" s="14" t="s">
        <v>1406</v>
      </c>
      <c r="E72" s="14" t="s">
        <v>1585</v>
      </c>
      <c r="F72" s="14" t="s">
        <v>1494</v>
      </c>
      <c r="G72" s="14" t="s">
        <v>1475</v>
      </c>
      <c r="H72" s="14" t="s">
        <v>624</v>
      </c>
      <c r="I72" s="14">
        <v>2003033</v>
      </c>
      <c r="J72" s="14">
        <v>0</v>
      </c>
      <c r="K72" s="14">
        <v>0</v>
      </c>
    </row>
    <row r="73" spans="1:11" x14ac:dyDescent="0.25">
      <c r="A73" s="16" t="e">
        <f>VLOOKUP(E73,Table1[[#All],[Campo]],1,0)</f>
        <v>#N/A</v>
      </c>
      <c r="B73" s="14" t="s">
        <v>1586</v>
      </c>
      <c r="C73" s="14" t="s">
        <v>1587</v>
      </c>
      <c r="D73" s="14" t="s">
        <v>1406</v>
      </c>
      <c r="E73" s="14" t="s">
        <v>1588</v>
      </c>
      <c r="F73" s="14" t="s">
        <v>1494</v>
      </c>
      <c r="G73" s="14" t="s">
        <v>1475</v>
      </c>
      <c r="H73" s="14" t="s">
        <v>624</v>
      </c>
      <c r="I73" s="14">
        <v>2003033</v>
      </c>
      <c r="J73" s="14">
        <v>0</v>
      </c>
      <c r="K73" s="14">
        <v>0</v>
      </c>
    </row>
    <row r="74" spans="1:11" x14ac:dyDescent="0.25">
      <c r="A74" s="16" t="e">
        <f>VLOOKUP(E74,Table1[[#All],[Campo]],1,0)</f>
        <v>#N/A</v>
      </c>
      <c r="B74" s="14" t="s">
        <v>1589</v>
      </c>
      <c r="C74" s="14" t="s">
        <v>1590</v>
      </c>
      <c r="D74" s="14" t="s">
        <v>1406</v>
      </c>
      <c r="E74" s="14" t="s">
        <v>1591</v>
      </c>
      <c r="F74" s="14" t="s">
        <v>1494</v>
      </c>
      <c r="G74" s="14" t="s">
        <v>1475</v>
      </c>
      <c r="H74" s="14" t="s">
        <v>624</v>
      </c>
      <c r="I74" s="14">
        <v>2003033</v>
      </c>
      <c r="J74" s="14">
        <v>0</v>
      </c>
      <c r="K74" s="14">
        <v>0</v>
      </c>
    </row>
    <row r="75" spans="1:11" x14ac:dyDescent="0.25">
      <c r="A75" s="16" t="s">
        <v>1592</v>
      </c>
      <c r="B75" s="14" t="s">
        <v>1593</v>
      </c>
      <c r="C75" s="14" t="s">
        <v>1594</v>
      </c>
      <c r="D75" s="14" t="s">
        <v>1406</v>
      </c>
      <c r="E75" s="14" t="s">
        <v>1595</v>
      </c>
      <c r="F75" s="14" t="s">
        <v>1494</v>
      </c>
      <c r="G75" s="14" t="s">
        <v>1475</v>
      </c>
      <c r="H75" s="14" t="s">
        <v>624</v>
      </c>
      <c r="I75" s="14">
        <v>2003033</v>
      </c>
      <c r="J75" s="14">
        <v>0</v>
      </c>
      <c r="K75" s="14">
        <v>0</v>
      </c>
    </row>
    <row r="76" spans="1:11" x14ac:dyDescent="0.25">
      <c r="A76" s="16" t="s">
        <v>1596</v>
      </c>
      <c r="B76" s="14" t="s">
        <v>1597</v>
      </c>
      <c r="C76" s="14" t="s">
        <v>1598</v>
      </c>
      <c r="D76" s="14" t="s">
        <v>1406</v>
      </c>
      <c r="E76" s="14" t="s">
        <v>1599</v>
      </c>
      <c r="F76" s="14" t="s">
        <v>1494</v>
      </c>
      <c r="G76" s="14" t="s">
        <v>1475</v>
      </c>
      <c r="H76" s="14" t="s">
        <v>624</v>
      </c>
      <c r="I76" s="14">
        <v>2003033</v>
      </c>
      <c r="J76" s="14">
        <v>0</v>
      </c>
      <c r="K76" s="14">
        <v>0</v>
      </c>
    </row>
    <row r="77" spans="1:11" x14ac:dyDescent="0.25">
      <c r="A77" s="16" t="e">
        <f>VLOOKUP(E77,Table1[[#All],[Campo]],1,0)</f>
        <v>#N/A</v>
      </c>
      <c r="B77" s="14" t="s">
        <v>1600</v>
      </c>
      <c r="C77" s="14" t="s">
        <v>1601</v>
      </c>
      <c r="D77" s="14" t="s">
        <v>1406</v>
      </c>
      <c r="E77" s="14" t="s">
        <v>1602</v>
      </c>
      <c r="F77" s="14" t="s">
        <v>1494</v>
      </c>
      <c r="G77" s="14" t="s">
        <v>1475</v>
      </c>
      <c r="H77" s="14" t="s">
        <v>624</v>
      </c>
      <c r="I77" s="14">
        <v>2003033</v>
      </c>
      <c r="J77" s="14">
        <v>0</v>
      </c>
      <c r="K77" s="14">
        <v>0</v>
      </c>
    </row>
    <row r="78" spans="1:11" x14ac:dyDescent="0.25">
      <c r="A78" s="16" t="e">
        <f>VLOOKUP(E78,Table1[[#All],[Campo]],1,0)</f>
        <v>#N/A</v>
      </c>
      <c r="B78" s="14" t="s">
        <v>1603</v>
      </c>
      <c r="C78" s="14" t="s">
        <v>1604</v>
      </c>
      <c r="D78" s="14" t="s">
        <v>1406</v>
      </c>
      <c r="E78" s="14" t="s">
        <v>1434</v>
      </c>
      <c r="F78" s="14" t="s">
        <v>1461</v>
      </c>
      <c r="G78" s="14" t="s">
        <v>1475</v>
      </c>
      <c r="H78" s="14" t="s">
        <v>1409</v>
      </c>
      <c r="I78" s="14">
        <v>2003033</v>
      </c>
      <c r="J78" s="14">
        <v>2003033</v>
      </c>
      <c r="K78" s="14">
        <v>100</v>
      </c>
    </row>
    <row r="79" spans="1:11" x14ac:dyDescent="0.25">
      <c r="A79" s="16" t="s">
        <v>1605</v>
      </c>
      <c r="B79" s="14" t="s">
        <v>1606</v>
      </c>
      <c r="C79" s="14" t="s">
        <v>1607</v>
      </c>
      <c r="D79" s="14" t="s">
        <v>1406</v>
      </c>
      <c r="E79" s="14" t="s">
        <v>1608</v>
      </c>
      <c r="F79" s="14" t="s">
        <v>1494</v>
      </c>
      <c r="G79" s="14" t="s">
        <v>1475</v>
      </c>
      <c r="H79" s="14" t="s">
        <v>624</v>
      </c>
      <c r="I79" s="14">
        <v>2003033</v>
      </c>
      <c r="J79" s="14">
        <v>0</v>
      </c>
      <c r="K79" s="14">
        <v>0</v>
      </c>
    </row>
    <row r="80" spans="1:11" x14ac:dyDescent="0.25">
      <c r="A80" s="16" t="s">
        <v>1609</v>
      </c>
      <c r="B80" s="14" t="s">
        <v>1610</v>
      </c>
      <c r="C80" s="14" t="s">
        <v>1611</v>
      </c>
      <c r="D80" s="14" t="s">
        <v>1406</v>
      </c>
      <c r="E80" s="14" t="s">
        <v>1612</v>
      </c>
      <c r="F80" s="14" t="s">
        <v>1494</v>
      </c>
      <c r="G80" s="14" t="s">
        <v>1475</v>
      </c>
      <c r="H80" s="14" t="s">
        <v>624</v>
      </c>
      <c r="I80" s="14">
        <v>2003033</v>
      </c>
      <c r="J80" s="14">
        <v>0</v>
      </c>
      <c r="K80" s="14">
        <v>0</v>
      </c>
    </row>
    <row r="81" spans="1:11" x14ac:dyDescent="0.25">
      <c r="A81" s="16" t="s">
        <v>1435</v>
      </c>
      <c r="B81" s="14" t="s">
        <v>1613</v>
      </c>
      <c r="C81" s="14" t="s">
        <v>1614</v>
      </c>
      <c r="D81" s="14" t="s">
        <v>1406</v>
      </c>
      <c r="E81" s="14" t="s">
        <v>1438</v>
      </c>
      <c r="F81" s="14" t="s">
        <v>1461</v>
      </c>
      <c r="G81" s="14" t="s">
        <v>1475</v>
      </c>
      <c r="H81" s="14" t="s">
        <v>1409</v>
      </c>
      <c r="I81" s="14">
        <v>2003033</v>
      </c>
      <c r="J81" s="14">
        <v>2003033</v>
      </c>
      <c r="K81" s="14">
        <v>100</v>
      </c>
    </row>
    <row r="82" spans="1:11" x14ac:dyDescent="0.25">
      <c r="A82" s="16" t="str">
        <f>VLOOKUP(E82,Table1[[#All],[Campo]],1,0)</f>
        <v>idcmb</v>
      </c>
      <c r="B82" s="14" t="s">
        <v>1615</v>
      </c>
      <c r="C82" s="14" t="s">
        <v>1616</v>
      </c>
      <c r="D82" s="14" t="s">
        <v>1406</v>
      </c>
      <c r="E82" s="14" t="s">
        <v>1441</v>
      </c>
      <c r="F82" s="14" t="s">
        <v>1461</v>
      </c>
      <c r="G82" s="14" t="s">
        <v>1475</v>
      </c>
      <c r="H82" s="14" t="s">
        <v>1409</v>
      </c>
      <c r="I82" s="14">
        <v>2003033</v>
      </c>
      <c r="J82" s="14">
        <v>2003033</v>
      </c>
      <c r="K82" s="14">
        <v>100</v>
      </c>
    </row>
    <row r="83" spans="1:11" x14ac:dyDescent="0.25">
      <c r="A83" s="16" t="str">
        <f>VLOOKUP(E83,Table1[[#All],[Campo]],1,0)</f>
        <v>cod_soc</v>
      </c>
      <c r="B83" s="14" t="s">
        <v>1617</v>
      </c>
      <c r="C83" s="14" t="s">
        <v>1459</v>
      </c>
      <c r="D83" s="14" t="s">
        <v>1457</v>
      </c>
      <c r="E83" s="14" t="s">
        <v>1384</v>
      </c>
      <c r="F83" s="14" t="s">
        <v>1461</v>
      </c>
      <c r="G83" s="14" t="s">
        <v>1618</v>
      </c>
      <c r="H83" s="14" t="s">
        <v>624</v>
      </c>
      <c r="I83" s="14">
        <v>731165</v>
      </c>
      <c r="J83" s="14">
        <v>0</v>
      </c>
      <c r="K83" s="14">
        <v>0</v>
      </c>
    </row>
    <row r="84" spans="1:11" x14ac:dyDescent="0.25">
      <c r="A84" s="16" t="str">
        <f>VLOOKUP(E84,Table1[[#All],[Campo]],1,0)</f>
        <v>dt_rfrnc</v>
      </c>
      <c r="B84" s="14" t="s">
        <v>1619</v>
      </c>
      <c r="C84" s="14" t="s">
        <v>1470</v>
      </c>
      <c r="D84" s="14" t="s">
        <v>1457</v>
      </c>
      <c r="E84" s="14" t="s">
        <v>1389</v>
      </c>
      <c r="F84" s="14" t="s">
        <v>1465</v>
      </c>
      <c r="G84" s="14" t="s">
        <v>1618</v>
      </c>
      <c r="H84" s="14" t="s">
        <v>624</v>
      </c>
      <c r="I84" s="14">
        <v>731165</v>
      </c>
      <c r="J84" s="14">
        <v>0</v>
      </c>
      <c r="K84" s="14">
        <v>0</v>
      </c>
    </row>
    <row r="85" spans="1:11" x14ac:dyDescent="0.25">
      <c r="A85" s="16" t="str">
        <f>VLOOKUP(E85,Table1[[#All],[Campo]],1,0)</f>
        <v>instrmnt_id</v>
      </c>
      <c r="B85" s="14" t="s">
        <v>1620</v>
      </c>
      <c r="C85" s="14" t="s">
        <v>1472</v>
      </c>
      <c r="D85" s="14" t="s">
        <v>1457</v>
      </c>
      <c r="E85" s="14" t="s">
        <v>1398</v>
      </c>
      <c r="F85" s="14" t="s">
        <v>1473</v>
      </c>
      <c r="G85" s="14" t="s">
        <v>1618</v>
      </c>
      <c r="H85" s="14" t="s">
        <v>624</v>
      </c>
      <c r="I85" s="14">
        <v>731165</v>
      </c>
      <c r="J85" s="14">
        <v>0</v>
      </c>
      <c r="K85" s="14">
        <v>0</v>
      </c>
    </row>
    <row r="86" spans="1:11" x14ac:dyDescent="0.25">
      <c r="A86" s="16" t="str">
        <f>VLOOKUP(E86,Table1[[#All],[Campo]],1,0)</f>
        <v>cod_soc</v>
      </c>
      <c r="B86" s="14" t="s">
        <v>1621</v>
      </c>
      <c r="C86" s="14" t="s">
        <v>1459</v>
      </c>
      <c r="D86" s="14" t="s">
        <v>1622</v>
      </c>
      <c r="E86" s="14" t="s">
        <v>1384</v>
      </c>
      <c r="F86" s="14" t="s">
        <v>1461</v>
      </c>
      <c r="G86" s="14" t="s">
        <v>1623</v>
      </c>
      <c r="H86" s="14" t="s">
        <v>624</v>
      </c>
      <c r="I86" s="14">
        <v>456960</v>
      </c>
      <c r="J86" s="14">
        <v>0</v>
      </c>
      <c r="K86" s="14">
        <v>0</v>
      </c>
    </row>
    <row r="87" spans="1:11" x14ac:dyDescent="0.25">
      <c r="A87" s="16" t="str">
        <f>VLOOKUP(E87,Table1[[#All],[Campo]],1,0)</f>
        <v>dt_rfrnc</v>
      </c>
      <c r="B87" s="14" t="s">
        <v>1624</v>
      </c>
      <c r="C87" s="14" t="s">
        <v>1470</v>
      </c>
      <c r="D87" s="14" t="s">
        <v>1622</v>
      </c>
      <c r="E87" s="14" t="s">
        <v>1389</v>
      </c>
      <c r="F87" s="14" t="s">
        <v>1465</v>
      </c>
      <c r="G87" s="14" t="s">
        <v>1623</v>
      </c>
      <c r="H87" s="14" t="s">
        <v>624</v>
      </c>
      <c r="I87" s="14">
        <v>456960</v>
      </c>
      <c r="J87" s="14">
        <v>0</v>
      </c>
      <c r="K87" s="14">
        <v>0</v>
      </c>
    </row>
    <row r="88" spans="1:11" x14ac:dyDescent="0.25">
      <c r="A88" s="16" t="str">
        <f>VLOOKUP(E88,Table1[[#All],[Campo]],1,0)</f>
        <v>instrmnt_id</v>
      </c>
      <c r="B88" s="14" t="s">
        <v>1625</v>
      </c>
      <c r="C88" s="14" t="s">
        <v>1626</v>
      </c>
      <c r="D88" s="14" t="s">
        <v>1467</v>
      </c>
      <c r="E88" s="14" t="s">
        <v>1398</v>
      </c>
      <c r="F88" s="14" t="s">
        <v>1627</v>
      </c>
      <c r="G88" s="14" t="s">
        <v>1628</v>
      </c>
      <c r="H88" s="14" t="s">
        <v>624</v>
      </c>
      <c r="I88" s="14">
        <v>2490665</v>
      </c>
      <c r="J88" s="14">
        <v>0</v>
      </c>
      <c r="K88" s="14">
        <v>0</v>
      </c>
    </row>
    <row r="89" spans="1:11" x14ac:dyDescent="0.25">
      <c r="A89" s="16" t="str">
        <f>VLOOKUP(E89,Table1[[#All],[Campo]],1,0)</f>
        <v>typ_instrmnt</v>
      </c>
      <c r="B89" s="14" t="s">
        <v>1629</v>
      </c>
      <c r="C89" s="14" t="s">
        <v>1630</v>
      </c>
      <c r="D89" s="14" t="s">
        <v>1406</v>
      </c>
      <c r="E89" s="14" t="s">
        <v>1490</v>
      </c>
      <c r="F89" s="14" t="s">
        <v>1627</v>
      </c>
      <c r="G89" s="14" t="s">
        <v>1628</v>
      </c>
      <c r="H89" s="14" t="s">
        <v>624</v>
      </c>
      <c r="I89" s="14">
        <v>2001306</v>
      </c>
      <c r="J89" s="14">
        <v>0</v>
      </c>
      <c r="K89" s="14">
        <v>0</v>
      </c>
    </row>
    <row r="90" spans="1:11" x14ac:dyDescent="0.25">
      <c r="A90" s="16" t="str">
        <f>VLOOKUP(E90,Table1[[#All],[Campo]],1,0)</f>
        <v>instrmnt_id</v>
      </c>
      <c r="B90" s="14" t="s">
        <v>1631</v>
      </c>
      <c r="C90" s="14" t="s">
        <v>1632</v>
      </c>
      <c r="D90" s="14" t="s">
        <v>1457</v>
      </c>
      <c r="E90" s="14" t="s">
        <v>1398</v>
      </c>
      <c r="F90" s="14" t="s">
        <v>1627</v>
      </c>
      <c r="G90" s="14" t="s">
        <v>1628</v>
      </c>
      <c r="H90" s="14" t="s">
        <v>624</v>
      </c>
      <c r="I90" s="14">
        <v>731165</v>
      </c>
      <c r="J90" s="14">
        <v>0</v>
      </c>
      <c r="K90" s="14">
        <v>0</v>
      </c>
    </row>
    <row r="91" spans="1:11" x14ac:dyDescent="0.25">
      <c r="A91" s="16" t="str">
        <f>VLOOKUP(E91,Table1[[#All],[Campo]],1,0)</f>
        <v>dt_rfrnc</v>
      </c>
      <c r="B91" s="14" t="s">
        <v>1633</v>
      </c>
      <c r="C91" s="14" t="s">
        <v>1634</v>
      </c>
      <c r="D91" s="14" t="s">
        <v>1383</v>
      </c>
      <c r="E91" s="14" t="s">
        <v>1389</v>
      </c>
      <c r="F91" s="14" t="s">
        <v>1635</v>
      </c>
      <c r="G91" s="14" t="s">
        <v>1636</v>
      </c>
      <c r="H91" s="14" t="s">
        <v>624</v>
      </c>
      <c r="I91" s="14">
        <v>1096295</v>
      </c>
      <c r="J91" s="14">
        <v>0</v>
      </c>
      <c r="K91" s="14">
        <v>0</v>
      </c>
    </row>
    <row r="92" spans="1:11" x14ac:dyDescent="0.25">
      <c r="A92" s="16" t="str">
        <f>VLOOKUP(E92,Table1[[#All],[Campo]],1,0)</f>
        <v>dt_rfrnc</v>
      </c>
      <c r="B92" s="14" t="s">
        <v>1637</v>
      </c>
      <c r="C92" s="14" t="s">
        <v>1638</v>
      </c>
      <c r="D92" s="14" t="s">
        <v>1392</v>
      </c>
      <c r="E92" s="14" t="s">
        <v>1389</v>
      </c>
      <c r="F92" s="14" t="s">
        <v>1635</v>
      </c>
      <c r="G92" s="14" t="s">
        <v>1639</v>
      </c>
      <c r="H92" s="14" t="s">
        <v>624</v>
      </c>
      <c r="I92" s="14">
        <v>2490665</v>
      </c>
      <c r="J92" s="14">
        <v>0</v>
      </c>
      <c r="K92" s="14">
        <v>0</v>
      </c>
    </row>
    <row r="93" spans="1:11" x14ac:dyDescent="0.25">
      <c r="A93" s="16" t="str">
        <f>VLOOKUP(E93,Table1[[#All],[Campo]],1,0)</f>
        <v>dt_rfrnc</v>
      </c>
      <c r="B93" s="14" t="s">
        <v>1640</v>
      </c>
      <c r="C93" s="14" t="s">
        <v>1638</v>
      </c>
      <c r="D93" s="14" t="s">
        <v>1400</v>
      </c>
      <c r="E93" s="14" t="s">
        <v>1389</v>
      </c>
      <c r="F93" s="14" t="s">
        <v>1635</v>
      </c>
      <c r="G93" s="14" t="s">
        <v>1641</v>
      </c>
      <c r="H93" s="14" t="s">
        <v>624</v>
      </c>
      <c r="I93" s="14">
        <v>2002411</v>
      </c>
      <c r="J93" s="14">
        <v>0</v>
      </c>
      <c r="K93" s="14">
        <v>0</v>
      </c>
    </row>
    <row r="94" spans="1:11" x14ac:dyDescent="0.25">
      <c r="A94" s="16" t="str">
        <f>VLOOKUP(E94,Table1[[#All],[Campo]],1,0)</f>
        <v>imprmnt_stts</v>
      </c>
      <c r="B94" s="14" t="s">
        <v>1642</v>
      </c>
      <c r="C94" s="14" t="s">
        <v>1643</v>
      </c>
      <c r="D94" s="14" t="s">
        <v>1400</v>
      </c>
      <c r="E94" s="14" t="s">
        <v>1485</v>
      </c>
      <c r="F94" s="14" t="s">
        <v>1461</v>
      </c>
      <c r="G94" s="14" t="s">
        <v>1641</v>
      </c>
      <c r="H94" s="14" t="s">
        <v>624</v>
      </c>
      <c r="I94" s="14">
        <v>2002411</v>
      </c>
      <c r="J94" s="14">
        <v>0</v>
      </c>
      <c r="K94" s="14">
        <v>0</v>
      </c>
    </row>
    <row r="95" spans="1:11" x14ac:dyDescent="0.25">
      <c r="A95" s="16" t="e">
        <f>VLOOKUP(E95,Table1[[#All],[Campo]],1,0)</f>
        <v>#N/A</v>
      </c>
      <c r="B95" s="14" t="s">
        <v>1644</v>
      </c>
      <c r="C95" s="14" t="s">
        <v>1645</v>
      </c>
      <c r="D95" s="14" t="s">
        <v>1400</v>
      </c>
      <c r="E95" s="14" t="s">
        <v>1579</v>
      </c>
      <c r="F95" s="14" t="s">
        <v>1461</v>
      </c>
      <c r="G95" s="14" t="s">
        <v>1641</v>
      </c>
      <c r="H95" s="14" t="s">
        <v>624</v>
      </c>
      <c r="I95" s="14">
        <v>2002411</v>
      </c>
      <c r="J95" s="14">
        <v>0</v>
      </c>
      <c r="K95" s="14">
        <v>0</v>
      </c>
    </row>
    <row r="96" spans="1:11" x14ac:dyDescent="0.25">
      <c r="A96" s="16" t="str">
        <f>VLOOKUP(E96,Table1[[#All],[Campo]],1,0)</f>
        <v>dt_rfrnc</v>
      </c>
      <c r="B96" s="14" t="s">
        <v>1646</v>
      </c>
      <c r="C96" s="14" t="s">
        <v>1638</v>
      </c>
      <c r="D96" s="14" t="s">
        <v>1443</v>
      </c>
      <c r="E96" s="14" t="s">
        <v>1389</v>
      </c>
      <c r="F96" s="14" t="s">
        <v>1635</v>
      </c>
      <c r="G96" s="14" t="s">
        <v>1647</v>
      </c>
      <c r="H96" s="14" t="s">
        <v>624</v>
      </c>
      <c r="I96" s="14">
        <v>731165</v>
      </c>
      <c r="J96" s="14">
        <v>0</v>
      </c>
      <c r="K96" s="14">
        <v>0</v>
      </c>
    </row>
    <row r="97" spans="1:11" x14ac:dyDescent="0.25">
      <c r="A97" s="16" t="str">
        <f>VLOOKUP(E97,Table1[[#All],[Campo]],1,0)</f>
        <v>dt_rfrnc</v>
      </c>
      <c r="B97" s="14" t="s">
        <v>1648</v>
      </c>
      <c r="C97" s="14" t="s">
        <v>1638</v>
      </c>
      <c r="D97" s="14" t="s">
        <v>1448</v>
      </c>
      <c r="E97" s="14" t="s">
        <v>1389</v>
      </c>
      <c r="F97" s="14" t="s">
        <v>1635</v>
      </c>
      <c r="G97" s="14" t="s">
        <v>1649</v>
      </c>
      <c r="H97" s="14" t="s">
        <v>624</v>
      </c>
      <c r="I97" s="14">
        <v>456960</v>
      </c>
      <c r="J97" s="14">
        <v>0</v>
      </c>
      <c r="K97" s="14">
        <v>0</v>
      </c>
    </row>
    <row r="98" spans="1:11" x14ac:dyDescent="0.25">
      <c r="A98" s="16" t="str">
        <f>VLOOKUP(E98,Table1[[#All],[Campo]],1,0)</f>
        <v>dt_rfrnc</v>
      </c>
      <c r="B98" s="14" t="s">
        <v>1650</v>
      </c>
      <c r="C98" s="14" t="s">
        <v>1651</v>
      </c>
      <c r="D98" s="14" t="s">
        <v>1460</v>
      </c>
      <c r="E98" s="14" t="s">
        <v>1389</v>
      </c>
      <c r="F98" s="14" t="s">
        <v>1635</v>
      </c>
      <c r="G98" s="14" t="s">
        <v>1652</v>
      </c>
      <c r="H98" s="14" t="s">
        <v>624</v>
      </c>
      <c r="I98" s="14">
        <v>1096295</v>
      </c>
      <c r="J98" s="14">
        <v>0</v>
      </c>
      <c r="K98" s="14">
        <v>0</v>
      </c>
    </row>
    <row r="99" spans="1:11" x14ac:dyDescent="0.25">
      <c r="A99" s="16" t="str">
        <f>VLOOKUP(E99,Table1[[#All],[Campo]],1,0)</f>
        <v>dt_rfrnc</v>
      </c>
      <c r="B99" s="14" t="s">
        <v>1653</v>
      </c>
      <c r="C99" s="14" t="s">
        <v>1651</v>
      </c>
      <c r="D99" s="14" t="s">
        <v>1467</v>
      </c>
      <c r="E99" s="14" t="s">
        <v>1389</v>
      </c>
      <c r="F99" s="14" t="s">
        <v>1635</v>
      </c>
      <c r="G99" s="14" t="s">
        <v>1654</v>
      </c>
      <c r="H99" s="14" t="s">
        <v>624</v>
      </c>
      <c r="I99" s="14">
        <v>2490665</v>
      </c>
      <c r="J99" s="14">
        <v>0</v>
      </c>
      <c r="K99" s="14">
        <v>0</v>
      </c>
    </row>
    <row r="100" spans="1:11" x14ac:dyDescent="0.25">
      <c r="A100" s="16" t="str">
        <f>VLOOKUP(E100,Table1[[#All],[Campo]],1,0)</f>
        <v>dt_rfrnc</v>
      </c>
      <c r="B100" s="14" t="s">
        <v>1655</v>
      </c>
      <c r="C100" s="14" t="s">
        <v>1651</v>
      </c>
      <c r="D100" s="14" t="s">
        <v>1406</v>
      </c>
      <c r="E100" s="14" t="s">
        <v>1389</v>
      </c>
      <c r="F100" s="14" t="s">
        <v>1635</v>
      </c>
      <c r="G100" s="14" t="s">
        <v>1656</v>
      </c>
      <c r="H100" s="14" t="s">
        <v>624</v>
      </c>
      <c r="I100" s="14">
        <v>2002411</v>
      </c>
      <c r="J100" s="14">
        <v>0</v>
      </c>
      <c r="K100" s="14">
        <v>0</v>
      </c>
    </row>
    <row r="101" spans="1:11" x14ac:dyDescent="0.25">
      <c r="A101" s="16" t="str">
        <f>VLOOKUP(E101,Table1[[#All],[Campo]],1,0)</f>
        <v>grss_crryng_amnt_instrmnt</v>
      </c>
      <c r="B101" s="14" t="s">
        <v>1657</v>
      </c>
      <c r="C101" s="14" t="s">
        <v>1658</v>
      </c>
      <c r="D101" s="14" t="s">
        <v>1406</v>
      </c>
      <c r="E101" s="14" t="s">
        <v>1493</v>
      </c>
      <c r="F101" s="14" t="s">
        <v>1659</v>
      </c>
      <c r="G101" s="14" t="s">
        <v>1656</v>
      </c>
      <c r="H101" s="14" t="s">
        <v>1409</v>
      </c>
      <c r="I101" s="14">
        <v>2002411</v>
      </c>
      <c r="J101" s="14">
        <v>31379</v>
      </c>
      <c r="K101" s="14">
        <v>1.5670999999999999</v>
      </c>
    </row>
    <row r="102" spans="1:11" x14ac:dyDescent="0.25">
      <c r="A102" s="16" t="str">
        <f>VLOOKUP(E102,Table1[[#All],[Campo]],1,0)</f>
        <v>accmltd_chngs_fv_cr_instrmnt</v>
      </c>
      <c r="B102" s="14" t="s">
        <v>1660</v>
      </c>
      <c r="C102" s="14" t="s">
        <v>1661</v>
      </c>
      <c r="D102" s="14" t="s">
        <v>1406</v>
      </c>
      <c r="E102" s="14" t="s">
        <v>1497</v>
      </c>
      <c r="F102" s="14" t="s">
        <v>1659</v>
      </c>
      <c r="G102" s="14" t="s">
        <v>1656</v>
      </c>
      <c r="H102" s="14" t="s">
        <v>624</v>
      </c>
      <c r="I102" s="14">
        <v>2002411</v>
      </c>
      <c r="J102" s="14">
        <v>0</v>
      </c>
      <c r="K102" s="14">
        <v>0</v>
      </c>
    </row>
    <row r="103" spans="1:11" x14ac:dyDescent="0.25">
      <c r="A103" s="16" t="e">
        <f>VLOOKUP(E103,Table1[[#All],[Campo]],1,0)</f>
        <v>#N/A</v>
      </c>
      <c r="B103" s="14" t="s">
        <v>1662</v>
      </c>
      <c r="C103" s="14" t="s">
        <v>1663</v>
      </c>
      <c r="D103" s="14" t="s">
        <v>1406</v>
      </c>
      <c r="E103" s="14" t="s">
        <v>1503</v>
      </c>
      <c r="F103" s="14" t="s">
        <v>1659</v>
      </c>
      <c r="G103" s="14" t="s">
        <v>1656</v>
      </c>
      <c r="H103" s="14" t="s">
        <v>624</v>
      </c>
      <c r="I103" s="14">
        <v>2002411</v>
      </c>
      <c r="J103" s="14">
        <v>0</v>
      </c>
      <c r="K103" s="14">
        <v>0</v>
      </c>
    </row>
    <row r="104" spans="1:11" x14ac:dyDescent="0.25">
      <c r="A104" s="16" t="e">
        <f>VLOOKUP(E104,Table1[[#All],[Campo]],1,0)</f>
        <v>#N/A</v>
      </c>
      <c r="B104" s="14" t="s">
        <v>1664</v>
      </c>
      <c r="C104" s="14" t="s">
        <v>1665</v>
      </c>
      <c r="D104" s="14" t="s">
        <v>1406</v>
      </c>
      <c r="E104" s="14" t="s">
        <v>1506</v>
      </c>
      <c r="F104" s="14" t="s">
        <v>1659</v>
      </c>
      <c r="G104" s="14" t="s">
        <v>1656</v>
      </c>
      <c r="H104" s="14" t="s">
        <v>624</v>
      </c>
      <c r="I104" s="14">
        <v>2002411</v>
      </c>
      <c r="J104" s="14">
        <v>0</v>
      </c>
      <c r="K104" s="14">
        <v>0</v>
      </c>
    </row>
    <row r="105" spans="1:11" x14ac:dyDescent="0.25">
      <c r="A105" s="16" t="e">
        <f>VLOOKUP(E105,Table1[[#All],[Campo]],1,0)</f>
        <v>#N/A</v>
      </c>
      <c r="B105" s="14" t="s">
        <v>1666</v>
      </c>
      <c r="C105" s="14" t="s">
        <v>1667</v>
      </c>
      <c r="D105" s="14" t="s">
        <v>1406</v>
      </c>
      <c r="E105" s="14" t="s">
        <v>1509</v>
      </c>
      <c r="F105" s="14" t="s">
        <v>1659</v>
      </c>
      <c r="G105" s="14" t="s">
        <v>1656</v>
      </c>
      <c r="H105" s="14" t="s">
        <v>624</v>
      </c>
      <c r="I105" s="14">
        <v>2002411</v>
      </c>
      <c r="J105" s="14">
        <v>0</v>
      </c>
      <c r="K105" s="14">
        <v>0</v>
      </c>
    </row>
    <row r="106" spans="1:11" x14ac:dyDescent="0.25">
      <c r="A106" s="16" t="str">
        <f>VLOOKUP(E106,Table1[[#All],[Campo]],1,0)</f>
        <v>accmltd_imprmnt_instrmnt</v>
      </c>
      <c r="B106" s="14" t="s">
        <v>1668</v>
      </c>
      <c r="C106" s="14" t="s">
        <v>1669</v>
      </c>
      <c r="D106" s="14" t="s">
        <v>1406</v>
      </c>
      <c r="E106" s="14" t="s">
        <v>1512</v>
      </c>
      <c r="F106" s="14" t="s">
        <v>1659</v>
      </c>
      <c r="G106" s="14" t="s">
        <v>1656</v>
      </c>
      <c r="H106" s="14" t="s">
        <v>624</v>
      </c>
      <c r="I106" s="14">
        <v>2002411</v>
      </c>
      <c r="J106" s="14">
        <v>0</v>
      </c>
      <c r="K106" s="14">
        <v>0</v>
      </c>
    </row>
    <row r="107" spans="1:11" x14ac:dyDescent="0.25">
      <c r="A107" s="16" t="e">
        <f>VLOOKUP(E107,Table1[[#All],[Campo]],1,0)</f>
        <v>#N/A</v>
      </c>
      <c r="B107" s="14" t="s">
        <v>1670</v>
      </c>
      <c r="C107" s="14" t="s">
        <v>1671</v>
      </c>
      <c r="D107" s="14" t="s">
        <v>1406</v>
      </c>
      <c r="E107" s="14" t="s">
        <v>1524</v>
      </c>
      <c r="F107" s="14" t="s">
        <v>1659</v>
      </c>
      <c r="G107" s="14" t="s">
        <v>1656</v>
      </c>
      <c r="H107" s="14" t="s">
        <v>624</v>
      </c>
      <c r="I107" s="14">
        <v>2002411</v>
      </c>
      <c r="J107" s="14">
        <v>0</v>
      </c>
      <c r="K107" s="14">
        <v>0</v>
      </c>
    </row>
    <row r="108" spans="1:11" x14ac:dyDescent="0.25">
      <c r="A108" s="16" t="str">
        <f>VLOOKUP(E108,Table1[[#All],[Campo]],1,0)</f>
        <v>grss_intrst_incm</v>
      </c>
      <c r="B108" s="14" t="s">
        <v>1672</v>
      </c>
      <c r="C108" s="14" t="s">
        <v>1673</v>
      </c>
      <c r="D108" s="14" t="s">
        <v>1406</v>
      </c>
      <c r="E108" s="14" t="s">
        <v>1529</v>
      </c>
      <c r="F108" s="14" t="s">
        <v>1659</v>
      </c>
      <c r="G108" s="14" t="s">
        <v>1656</v>
      </c>
      <c r="H108" s="14" t="s">
        <v>624</v>
      </c>
      <c r="I108" s="14">
        <v>2002411</v>
      </c>
      <c r="J108" s="14">
        <v>0</v>
      </c>
      <c r="K108" s="14">
        <v>0</v>
      </c>
    </row>
    <row r="109" spans="1:11" x14ac:dyDescent="0.25">
      <c r="A109" s="16" t="s">
        <v>1530</v>
      </c>
      <c r="B109" s="14" t="s">
        <v>1674</v>
      </c>
      <c r="C109" s="14" t="s">
        <v>1675</v>
      </c>
      <c r="D109" s="14" t="s">
        <v>1406</v>
      </c>
      <c r="E109" s="14" t="s">
        <v>1533</v>
      </c>
      <c r="F109" s="14" t="s">
        <v>1659</v>
      </c>
      <c r="G109" s="14" t="s">
        <v>1656</v>
      </c>
      <c r="H109" s="14" t="s">
        <v>624</v>
      </c>
      <c r="I109" s="14">
        <v>2002411</v>
      </c>
      <c r="J109" s="14">
        <v>0</v>
      </c>
      <c r="K109" s="14">
        <v>0</v>
      </c>
    </row>
    <row r="110" spans="1:11" x14ac:dyDescent="0.25">
      <c r="A110" s="16" t="e">
        <f>VLOOKUP(E110,Table1[[#All],[Campo]],1,0)</f>
        <v>#N/A</v>
      </c>
      <c r="B110" s="14" t="s">
        <v>1676</v>
      </c>
      <c r="C110" s="14" t="s">
        <v>1677</v>
      </c>
      <c r="D110" s="14" t="s">
        <v>1406</v>
      </c>
      <c r="E110" s="14" t="s">
        <v>1536</v>
      </c>
      <c r="F110" s="14" t="s">
        <v>1659</v>
      </c>
      <c r="G110" s="14" t="s">
        <v>1656</v>
      </c>
      <c r="H110" s="14" t="s">
        <v>624</v>
      </c>
      <c r="I110" s="14">
        <v>2002411</v>
      </c>
      <c r="J110" s="14">
        <v>0</v>
      </c>
      <c r="K110" s="14">
        <v>0</v>
      </c>
    </row>
    <row r="111" spans="1:11" x14ac:dyDescent="0.25">
      <c r="A111" s="16" t="e">
        <f>VLOOKUP(E111,Table1[[#All],[Campo]],1,0)</f>
        <v>#N/A</v>
      </c>
      <c r="B111" s="14" t="s">
        <v>1678</v>
      </c>
      <c r="C111" s="14" t="s">
        <v>1679</v>
      </c>
      <c r="D111" s="14" t="s">
        <v>1406</v>
      </c>
      <c r="E111" s="14" t="s">
        <v>1539</v>
      </c>
      <c r="F111" s="14" t="s">
        <v>1659</v>
      </c>
      <c r="G111" s="14" t="s">
        <v>1656</v>
      </c>
      <c r="H111" s="14" t="s">
        <v>624</v>
      </c>
      <c r="I111" s="14">
        <v>2002411</v>
      </c>
      <c r="J111" s="14">
        <v>0</v>
      </c>
      <c r="K111" s="14">
        <v>0</v>
      </c>
    </row>
    <row r="112" spans="1:11" x14ac:dyDescent="0.25">
      <c r="A112" s="16" t="s">
        <v>1545</v>
      </c>
      <c r="B112" s="14" t="s">
        <v>1680</v>
      </c>
      <c r="C112" s="14" t="s">
        <v>1681</v>
      </c>
      <c r="D112" s="14" t="s">
        <v>1406</v>
      </c>
      <c r="E112" s="14" t="s">
        <v>1548</v>
      </c>
      <c r="F112" s="14" t="s">
        <v>1659</v>
      </c>
      <c r="G112" s="14" t="s">
        <v>1656</v>
      </c>
      <c r="H112" s="14" t="s">
        <v>624</v>
      </c>
      <c r="I112" s="14">
        <v>2002411</v>
      </c>
      <c r="J112" s="14">
        <v>0</v>
      </c>
      <c r="K112" s="14">
        <v>0</v>
      </c>
    </row>
    <row r="113" spans="1:11" x14ac:dyDescent="0.25">
      <c r="A113" s="16" t="e">
        <f>VLOOKUP(E113,Table1[[#All],[Campo]],1,0)</f>
        <v>#N/A</v>
      </c>
      <c r="B113" s="14" t="s">
        <v>1682</v>
      </c>
      <c r="C113" s="14" t="s">
        <v>1683</v>
      </c>
      <c r="D113" s="14" t="s">
        <v>1406</v>
      </c>
      <c r="E113" s="14" t="s">
        <v>1551</v>
      </c>
      <c r="F113" s="14" t="s">
        <v>1659</v>
      </c>
      <c r="G113" s="14" t="s">
        <v>1656</v>
      </c>
      <c r="H113" s="14" t="s">
        <v>624</v>
      </c>
      <c r="I113" s="14">
        <v>2002411</v>
      </c>
      <c r="J113" s="14">
        <v>0</v>
      </c>
      <c r="K113" s="14">
        <v>0</v>
      </c>
    </row>
    <row r="114" spans="1:11" x14ac:dyDescent="0.25">
      <c r="A114" s="16" t="e">
        <f>VLOOKUP(E114,Table1[[#All],[Campo]],1,0)</f>
        <v>#N/A</v>
      </c>
      <c r="B114" s="14" t="s">
        <v>1684</v>
      </c>
      <c r="C114" s="14" t="s">
        <v>1685</v>
      </c>
      <c r="D114" s="14" t="s">
        <v>1406</v>
      </c>
      <c r="E114" s="14" t="s">
        <v>1565</v>
      </c>
      <c r="F114" s="14" t="s">
        <v>1659</v>
      </c>
      <c r="G114" s="14" t="s">
        <v>1656</v>
      </c>
      <c r="H114" s="14" t="s">
        <v>624</v>
      </c>
      <c r="I114" s="14">
        <v>2002411</v>
      </c>
      <c r="J114" s="14">
        <v>0</v>
      </c>
      <c r="K114" s="14">
        <v>0</v>
      </c>
    </row>
    <row r="115" spans="1:11" x14ac:dyDescent="0.25">
      <c r="A115" s="16" t="e">
        <f>VLOOKUP(E115,Table1[[#All],[Campo]],1,0)</f>
        <v>#N/A</v>
      </c>
      <c r="B115" s="14" t="s">
        <v>1686</v>
      </c>
      <c r="C115" s="14" t="s">
        <v>1687</v>
      </c>
      <c r="D115" s="14" t="s">
        <v>1406</v>
      </c>
      <c r="E115" s="14" t="s">
        <v>1568</v>
      </c>
      <c r="F115" s="14" t="s">
        <v>1659</v>
      </c>
      <c r="G115" s="14" t="s">
        <v>1656</v>
      </c>
      <c r="H115" s="14" t="s">
        <v>624</v>
      </c>
      <c r="I115" s="14">
        <v>2002411</v>
      </c>
      <c r="J115" s="14">
        <v>0</v>
      </c>
      <c r="K115" s="14">
        <v>0</v>
      </c>
    </row>
    <row r="116" spans="1:11" x14ac:dyDescent="0.25">
      <c r="A116" s="16" t="s">
        <v>1569</v>
      </c>
      <c r="B116" s="14" t="s">
        <v>1688</v>
      </c>
      <c r="C116" s="14" t="s">
        <v>1689</v>
      </c>
      <c r="D116" s="14" t="s">
        <v>1406</v>
      </c>
      <c r="E116" s="14" t="s">
        <v>1572</v>
      </c>
      <c r="F116" s="14" t="s">
        <v>1659</v>
      </c>
      <c r="G116" s="14" t="s">
        <v>1656</v>
      </c>
      <c r="H116" s="14" t="s">
        <v>624</v>
      </c>
      <c r="I116" s="14">
        <v>2002411</v>
      </c>
      <c r="J116" s="14">
        <v>0</v>
      </c>
      <c r="K116" s="14">
        <v>0</v>
      </c>
    </row>
    <row r="117" spans="1:11" x14ac:dyDescent="0.25">
      <c r="A117" s="16" t="s">
        <v>1573</v>
      </c>
      <c r="B117" s="14" t="s">
        <v>1690</v>
      </c>
      <c r="C117" s="14" t="s">
        <v>1691</v>
      </c>
      <c r="D117" s="14" t="s">
        <v>1406</v>
      </c>
      <c r="E117" s="14" t="s">
        <v>1576</v>
      </c>
      <c r="F117" s="14" t="s">
        <v>1659</v>
      </c>
      <c r="G117" s="14" t="s">
        <v>1656</v>
      </c>
      <c r="H117" s="14" t="s">
        <v>624</v>
      </c>
      <c r="I117" s="14">
        <v>2002411</v>
      </c>
      <c r="J117" s="14">
        <v>0</v>
      </c>
      <c r="K117" s="14">
        <v>0</v>
      </c>
    </row>
    <row r="118" spans="1:11" x14ac:dyDescent="0.25">
      <c r="A118" s="16" t="e">
        <f>VLOOKUP(E118,Table1[[#All],[Campo]],1,0)</f>
        <v>#N/A</v>
      </c>
      <c r="B118" s="14" t="s">
        <v>1692</v>
      </c>
      <c r="C118" s="14" t="s">
        <v>1693</v>
      </c>
      <c r="D118" s="14" t="s">
        <v>1406</v>
      </c>
      <c r="E118" s="14" t="s">
        <v>1582</v>
      </c>
      <c r="F118" s="14" t="s">
        <v>1659</v>
      </c>
      <c r="G118" s="14" t="s">
        <v>1656</v>
      </c>
      <c r="H118" s="14" t="s">
        <v>624</v>
      </c>
      <c r="I118" s="14">
        <v>2002411</v>
      </c>
      <c r="J118" s="14">
        <v>0</v>
      </c>
      <c r="K118" s="14">
        <v>0</v>
      </c>
    </row>
    <row r="119" spans="1:11" x14ac:dyDescent="0.25">
      <c r="A119" s="16" t="e">
        <f>VLOOKUP(E119,Table1[[#All],[Campo]],1,0)</f>
        <v>#N/A</v>
      </c>
      <c r="B119" s="14" t="s">
        <v>1694</v>
      </c>
      <c r="C119" s="14" t="s">
        <v>1695</v>
      </c>
      <c r="D119" s="14" t="s">
        <v>1406</v>
      </c>
      <c r="E119" s="14" t="s">
        <v>1588</v>
      </c>
      <c r="F119" s="14" t="s">
        <v>1659</v>
      </c>
      <c r="G119" s="14" t="s">
        <v>1656</v>
      </c>
      <c r="H119" s="14" t="s">
        <v>624</v>
      </c>
      <c r="I119" s="14">
        <v>2002411</v>
      </c>
      <c r="J119" s="14">
        <v>0</v>
      </c>
      <c r="K119" s="14">
        <v>0</v>
      </c>
    </row>
    <row r="120" spans="1:11" x14ac:dyDescent="0.25">
      <c r="A120" s="16" t="e">
        <f>VLOOKUP(E120,Table1[[#All],[Campo]],1,0)</f>
        <v>#N/A</v>
      </c>
      <c r="B120" s="14" t="s">
        <v>1696</v>
      </c>
      <c r="C120" s="14" t="s">
        <v>1697</v>
      </c>
      <c r="D120" s="14" t="s">
        <v>1406</v>
      </c>
      <c r="E120" s="14" t="s">
        <v>1591</v>
      </c>
      <c r="F120" s="14" t="s">
        <v>1659</v>
      </c>
      <c r="G120" s="14" t="s">
        <v>1656</v>
      </c>
      <c r="H120" s="14" t="s">
        <v>624</v>
      </c>
      <c r="I120" s="14">
        <v>2002411</v>
      </c>
      <c r="J120" s="14">
        <v>0</v>
      </c>
      <c r="K120" s="14">
        <v>0</v>
      </c>
    </row>
    <row r="121" spans="1:11" x14ac:dyDescent="0.25">
      <c r="A121" s="16" t="s">
        <v>1592</v>
      </c>
      <c r="B121" s="14" t="s">
        <v>1698</v>
      </c>
      <c r="C121" s="14" t="s">
        <v>1699</v>
      </c>
      <c r="D121" s="14" t="s">
        <v>1406</v>
      </c>
      <c r="E121" s="14" t="s">
        <v>1595</v>
      </c>
      <c r="F121" s="14" t="s">
        <v>1659</v>
      </c>
      <c r="G121" s="14" t="s">
        <v>1656</v>
      </c>
      <c r="H121" s="14" t="s">
        <v>624</v>
      </c>
      <c r="I121" s="14">
        <v>2002411</v>
      </c>
      <c r="J121" s="14">
        <v>0</v>
      </c>
      <c r="K121" s="14">
        <v>0</v>
      </c>
    </row>
    <row r="122" spans="1:11" x14ac:dyDescent="0.25">
      <c r="A122" s="16" t="s">
        <v>1596</v>
      </c>
      <c r="B122" s="14" t="s">
        <v>1700</v>
      </c>
      <c r="C122" s="14" t="s">
        <v>1701</v>
      </c>
      <c r="D122" s="14" t="s">
        <v>1406</v>
      </c>
      <c r="E122" s="14" t="s">
        <v>1599</v>
      </c>
      <c r="F122" s="14" t="s">
        <v>1659</v>
      </c>
      <c r="G122" s="14" t="s">
        <v>1656</v>
      </c>
      <c r="H122" s="14" t="s">
        <v>624</v>
      </c>
      <c r="I122" s="14">
        <v>2002411</v>
      </c>
      <c r="J122" s="14">
        <v>0</v>
      </c>
      <c r="K122" s="14">
        <v>0</v>
      </c>
    </row>
    <row r="123" spans="1:11" x14ac:dyDescent="0.25">
      <c r="A123" s="16" t="e">
        <f>VLOOKUP(E123,Table1[[#All],[Campo]],1,0)</f>
        <v>#N/A</v>
      </c>
      <c r="B123" s="14" t="s">
        <v>1702</v>
      </c>
      <c r="C123" s="14" t="s">
        <v>1703</v>
      </c>
      <c r="D123" s="14" t="s">
        <v>1406</v>
      </c>
      <c r="E123" s="14" t="s">
        <v>1602</v>
      </c>
      <c r="F123" s="14" t="s">
        <v>1659</v>
      </c>
      <c r="G123" s="14" t="s">
        <v>1656</v>
      </c>
      <c r="H123" s="14" t="s">
        <v>624</v>
      </c>
      <c r="I123" s="14">
        <v>2002411</v>
      </c>
      <c r="J123" s="14">
        <v>0</v>
      </c>
      <c r="K123" s="14">
        <v>0</v>
      </c>
    </row>
    <row r="124" spans="1:11" x14ac:dyDescent="0.25">
      <c r="A124" s="16" t="s">
        <v>1605</v>
      </c>
      <c r="B124" s="14" t="s">
        <v>1704</v>
      </c>
      <c r="C124" s="14" t="s">
        <v>1705</v>
      </c>
      <c r="D124" s="14" t="s">
        <v>1406</v>
      </c>
      <c r="E124" s="14" t="s">
        <v>1608</v>
      </c>
      <c r="F124" s="14" t="s">
        <v>1659</v>
      </c>
      <c r="G124" s="14" t="s">
        <v>1656</v>
      </c>
      <c r="H124" s="14" t="s">
        <v>624</v>
      </c>
      <c r="I124" s="14">
        <v>2002411</v>
      </c>
      <c r="J124" s="14">
        <v>0</v>
      </c>
      <c r="K124" s="14">
        <v>0</v>
      </c>
    </row>
    <row r="125" spans="1:11" x14ac:dyDescent="0.25">
      <c r="A125" s="16" t="s">
        <v>1609</v>
      </c>
      <c r="B125" s="14" t="s">
        <v>1706</v>
      </c>
      <c r="C125" s="14" t="s">
        <v>1707</v>
      </c>
      <c r="D125" s="14" t="s">
        <v>1406</v>
      </c>
      <c r="E125" s="14" t="s">
        <v>1612</v>
      </c>
      <c r="F125" s="14" t="s">
        <v>1659</v>
      </c>
      <c r="G125" s="14" t="s">
        <v>1656</v>
      </c>
      <c r="H125" s="14" t="s">
        <v>624</v>
      </c>
      <c r="I125" s="14">
        <v>2002411</v>
      </c>
      <c r="J125" s="14">
        <v>0</v>
      </c>
      <c r="K125" s="14">
        <v>0</v>
      </c>
    </row>
    <row r="126" spans="1:11" x14ac:dyDescent="0.25">
      <c r="A126" s="16" t="str">
        <f>VLOOKUP(E126,Table1[[#All],[Campo]],1,0)</f>
        <v>dt_rfrnc</v>
      </c>
      <c r="B126" s="14" t="s">
        <v>1708</v>
      </c>
      <c r="C126" s="14" t="s">
        <v>1651</v>
      </c>
      <c r="D126" s="14" t="s">
        <v>1457</v>
      </c>
      <c r="E126" s="14" t="s">
        <v>1389</v>
      </c>
      <c r="F126" s="14" t="s">
        <v>1635</v>
      </c>
      <c r="G126" s="14" t="s">
        <v>1709</v>
      </c>
      <c r="H126" s="14" t="s">
        <v>624</v>
      </c>
      <c r="I126" s="14">
        <v>731165</v>
      </c>
      <c r="J126" s="14">
        <v>0</v>
      </c>
      <c r="K126" s="14">
        <v>0</v>
      </c>
    </row>
    <row r="127" spans="1:11" x14ac:dyDescent="0.25">
      <c r="A127" s="16" t="str">
        <f>VLOOKUP(E127,Table1[[#All],[Campo]],1,0)</f>
        <v>dt_rfrnc</v>
      </c>
      <c r="B127" s="14" t="s">
        <v>1710</v>
      </c>
      <c r="C127" s="14" t="s">
        <v>1651</v>
      </c>
      <c r="D127" s="14" t="s">
        <v>1622</v>
      </c>
      <c r="E127" s="14" t="s">
        <v>1389</v>
      </c>
      <c r="F127" s="14" t="s">
        <v>1635</v>
      </c>
      <c r="G127" s="14" t="s">
        <v>1711</v>
      </c>
      <c r="H127" s="14" t="s">
        <v>624</v>
      </c>
      <c r="I127" s="14">
        <v>456960</v>
      </c>
      <c r="J127" s="14">
        <v>0</v>
      </c>
      <c r="K127" s="14">
        <v>0</v>
      </c>
    </row>
    <row r="128" spans="1:11" x14ac:dyDescent="0.25">
      <c r="A128" s="16" t="str">
        <f>VLOOKUP(E128,Table1[[#All],[Campo]],1,0)</f>
        <v>subportfolio_id</v>
      </c>
      <c r="B128" s="14" t="s">
        <v>1712</v>
      </c>
      <c r="C128" s="14" t="s">
        <v>1713</v>
      </c>
      <c r="D128" s="14" t="s">
        <v>1714</v>
      </c>
      <c r="E128" s="14" t="s">
        <v>1478</v>
      </c>
      <c r="F128" s="14" t="s">
        <v>1715</v>
      </c>
      <c r="G128" s="14" t="s">
        <v>1716</v>
      </c>
      <c r="H128" s="14" t="s">
        <v>624</v>
      </c>
      <c r="I128" s="14">
        <v>0</v>
      </c>
      <c r="J128" s="14">
        <v>0</v>
      </c>
      <c r="K128" s="14">
        <v>0</v>
      </c>
    </row>
    <row r="129" spans="1:11" x14ac:dyDescent="0.25">
      <c r="A129" s="16" t="str">
        <f>VLOOKUP(E129,Table1[[#All],[Campo]],1,0)</f>
        <v>dflt_stts_instrmnt</v>
      </c>
      <c r="B129" s="14" t="s">
        <v>1717</v>
      </c>
      <c r="C129" s="14" t="s">
        <v>1718</v>
      </c>
      <c r="D129" s="14" t="s">
        <v>1719</v>
      </c>
      <c r="E129" s="14" t="s">
        <v>1407</v>
      </c>
      <c r="F129" s="14" t="s">
        <v>1715</v>
      </c>
      <c r="G129" s="14" t="s">
        <v>1716</v>
      </c>
      <c r="H129" s="14" t="s">
        <v>624</v>
      </c>
      <c r="I129" s="14">
        <v>0</v>
      </c>
      <c r="J129" s="14">
        <v>0</v>
      </c>
      <c r="K129" s="14">
        <v>0</v>
      </c>
    </row>
    <row r="130" spans="1:11" x14ac:dyDescent="0.25">
      <c r="A130" s="16" t="str">
        <f>VLOOKUP(E130,Table1[[#All],[Campo]],1,0)</f>
        <v>dflt_stts_instrmnt</v>
      </c>
      <c r="B130" s="14" t="s">
        <v>1720</v>
      </c>
      <c r="C130" s="14" t="s">
        <v>1721</v>
      </c>
      <c r="D130" s="14" t="s">
        <v>1722</v>
      </c>
      <c r="E130" s="14" t="s">
        <v>1407</v>
      </c>
      <c r="F130" s="14" t="s">
        <v>1715</v>
      </c>
      <c r="G130" s="14" t="s">
        <v>1716</v>
      </c>
      <c r="H130" s="14" t="s">
        <v>624</v>
      </c>
      <c r="I130" s="14">
        <v>0</v>
      </c>
      <c r="J130" s="14">
        <v>0</v>
      </c>
      <c r="K130" s="14">
        <v>0</v>
      </c>
    </row>
    <row r="131" spans="1:11" x14ac:dyDescent="0.25">
      <c r="A131" s="16" t="str">
        <f>VLOOKUP(E131,Table1[[#All],[Campo]],1,0)</f>
        <v>dflt_stts_instrmnt</v>
      </c>
      <c r="B131" s="14" t="s">
        <v>1723</v>
      </c>
      <c r="C131" s="14" t="s">
        <v>1724</v>
      </c>
      <c r="D131" s="14" t="s">
        <v>1714</v>
      </c>
      <c r="E131" s="14" t="s">
        <v>1407</v>
      </c>
      <c r="F131" s="14" t="s">
        <v>1715</v>
      </c>
      <c r="G131" s="14" t="s">
        <v>1716</v>
      </c>
      <c r="H131" s="14" t="s">
        <v>624</v>
      </c>
      <c r="I131" s="14">
        <v>0</v>
      </c>
      <c r="J131" s="14">
        <v>0</v>
      </c>
      <c r="K131" s="14">
        <v>0</v>
      </c>
    </row>
    <row r="132" spans="1:11" x14ac:dyDescent="0.25">
      <c r="A132" s="16" t="str">
        <f>VLOOKUP(E132,Table1[[#All],[Campo]],1,0)</f>
        <v>imprmnt_stts</v>
      </c>
      <c r="B132" s="14" t="s">
        <v>1725</v>
      </c>
      <c r="C132" s="14" t="s">
        <v>1726</v>
      </c>
      <c r="D132" s="14" t="s">
        <v>1714</v>
      </c>
      <c r="E132" s="14" t="s">
        <v>1485</v>
      </c>
      <c r="F132" s="14" t="s">
        <v>1715</v>
      </c>
      <c r="G132" s="14" t="s">
        <v>1716</v>
      </c>
      <c r="H132" s="14" t="s">
        <v>1409</v>
      </c>
      <c r="I132" s="14">
        <v>9703</v>
      </c>
      <c r="J132" s="14">
        <v>1</v>
      </c>
      <c r="K132" s="14">
        <v>1.03E-2</v>
      </c>
    </row>
    <row r="133" spans="1:11" x14ac:dyDescent="0.25">
      <c r="A133" s="16" t="str">
        <f>VLOOKUP(E133,Table1[[#All],[Campo]],1,0)</f>
        <v>imprmnt_stts</v>
      </c>
      <c r="B133" s="14" t="s">
        <v>1727</v>
      </c>
      <c r="C133" s="14" t="s">
        <v>1728</v>
      </c>
      <c r="D133" s="14" t="s">
        <v>1714</v>
      </c>
      <c r="E133" s="14" t="s">
        <v>1485</v>
      </c>
      <c r="F133" s="14" t="s">
        <v>1715</v>
      </c>
      <c r="G133" s="14" t="s">
        <v>1716</v>
      </c>
      <c r="H133" s="14" t="s">
        <v>1409</v>
      </c>
      <c r="I133" s="14">
        <v>92666</v>
      </c>
      <c r="J133" s="14">
        <v>3283</v>
      </c>
      <c r="K133" s="14">
        <v>3.5428000000000002</v>
      </c>
    </row>
    <row r="134" spans="1:11" x14ac:dyDescent="0.25">
      <c r="A134" s="16" t="str">
        <f>VLOOKUP(E134,Table1[[#All],[Campo]],1,0)</f>
        <v>imprmnt_stts</v>
      </c>
      <c r="B134" s="14" t="s">
        <v>1729</v>
      </c>
      <c r="C134" s="14" t="s">
        <v>1730</v>
      </c>
      <c r="D134" s="14" t="s">
        <v>1714</v>
      </c>
      <c r="E134" s="14" t="s">
        <v>1485</v>
      </c>
      <c r="F134" s="14" t="s">
        <v>1715</v>
      </c>
      <c r="G134" s="14" t="s">
        <v>1716</v>
      </c>
      <c r="H134" s="14" t="s">
        <v>1409</v>
      </c>
      <c r="I134" s="14">
        <v>1813562</v>
      </c>
      <c r="J134" s="14">
        <v>4684</v>
      </c>
      <c r="K134" s="14">
        <v>0.25829999999999997</v>
      </c>
    </row>
    <row r="135" spans="1:11" x14ac:dyDescent="0.25">
      <c r="A135" s="16" t="str">
        <f>VLOOKUP(E135,Table1[[#All],[Campo]],1,0)</f>
        <v>imprmnt_stts</v>
      </c>
      <c r="B135" s="14" t="s">
        <v>1731</v>
      </c>
      <c r="C135" s="14" t="s">
        <v>1732</v>
      </c>
      <c r="D135" s="14" t="s">
        <v>1714</v>
      </c>
      <c r="E135" s="14" t="s">
        <v>1485</v>
      </c>
      <c r="F135" s="14" t="s">
        <v>1715</v>
      </c>
      <c r="G135" s="14" t="s">
        <v>1716</v>
      </c>
      <c r="H135" s="14" t="s">
        <v>624</v>
      </c>
      <c r="I135" s="14">
        <v>1905178</v>
      </c>
      <c r="J135" s="14">
        <v>0</v>
      </c>
      <c r="K135" s="14">
        <v>0</v>
      </c>
    </row>
    <row r="136" spans="1:11" x14ac:dyDescent="0.25">
      <c r="A136" s="16" t="str">
        <f>VLOOKUP(E136,Table1[[#All],[Campo]],1,0)</f>
        <v>imprmnt_stts</v>
      </c>
      <c r="B136" s="14" t="s">
        <v>1733</v>
      </c>
      <c r="C136" s="14" t="s">
        <v>1734</v>
      </c>
      <c r="D136" s="14" t="s">
        <v>1719</v>
      </c>
      <c r="E136" s="14" t="s">
        <v>1485</v>
      </c>
      <c r="F136" s="14" t="s">
        <v>1715</v>
      </c>
      <c r="G136" s="14" t="s">
        <v>1716</v>
      </c>
      <c r="H136" s="14" t="s">
        <v>1409</v>
      </c>
      <c r="I136" s="14">
        <v>18441</v>
      </c>
      <c r="J136" s="14">
        <v>2850</v>
      </c>
      <c r="K136" s="14">
        <v>15.454700000000001</v>
      </c>
    </row>
    <row r="137" spans="1:11" x14ac:dyDescent="0.25">
      <c r="A137" s="16" t="str">
        <f>VLOOKUP(E137,Table1[[#All],[Campo]],1,0)</f>
        <v>imprmnt_stts</v>
      </c>
      <c r="B137" s="14" t="s">
        <v>1735</v>
      </c>
      <c r="C137" s="14" t="s">
        <v>1736</v>
      </c>
      <c r="D137" s="14" t="s">
        <v>1737</v>
      </c>
      <c r="E137" s="14" t="s">
        <v>1485</v>
      </c>
      <c r="F137" s="14" t="s">
        <v>1715</v>
      </c>
      <c r="G137" s="14" t="s">
        <v>1716</v>
      </c>
      <c r="H137" s="14" t="s">
        <v>624</v>
      </c>
      <c r="I137" s="14">
        <v>1724899</v>
      </c>
      <c r="J137" s="14">
        <v>0</v>
      </c>
      <c r="K137" s="14">
        <v>0</v>
      </c>
    </row>
    <row r="138" spans="1:11" x14ac:dyDescent="0.25">
      <c r="A138" s="16" t="str">
        <f>VLOOKUP(E138,Table1[[#All],[Campo]],1,0)</f>
        <v>imprmnt_stts</v>
      </c>
      <c r="B138" s="14" t="s">
        <v>1738</v>
      </c>
      <c r="C138" s="14" t="s">
        <v>1739</v>
      </c>
      <c r="D138" s="14" t="s">
        <v>1737</v>
      </c>
      <c r="E138" s="14" t="s">
        <v>1485</v>
      </c>
      <c r="F138" s="14" t="s">
        <v>1715</v>
      </c>
      <c r="G138" s="14" t="s">
        <v>1716</v>
      </c>
      <c r="H138" s="14" t="s">
        <v>624</v>
      </c>
      <c r="I138" s="14">
        <v>1472964</v>
      </c>
      <c r="J138" s="14">
        <v>0</v>
      </c>
      <c r="K138" s="14">
        <v>0</v>
      </c>
    </row>
    <row r="139" spans="1:11" x14ac:dyDescent="0.25">
      <c r="A139" s="16" t="str">
        <f>VLOOKUP(E139,Table1[[#All],[Campo]],1,0)</f>
        <v>imprmnt_stts</v>
      </c>
      <c r="B139" s="14" t="s">
        <v>1740</v>
      </c>
      <c r="C139" s="14" t="s">
        <v>1741</v>
      </c>
      <c r="D139" s="14" t="s">
        <v>1737</v>
      </c>
      <c r="E139" s="14" t="s">
        <v>1485</v>
      </c>
      <c r="F139" s="14" t="s">
        <v>1715</v>
      </c>
      <c r="G139" s="14" t="s">
        <v>1716</v>
      </c>
      <c r="H139" s="14" t="s">
        <v>624</v>
      </c>
      <c r="I139" s="14">
        <v>432214</v>
      </c>
      <c r="J139" s="14">
        <v>0</v>
      </c>
      <c r="K139" s="14">
        <v>0</v>
      </c>
    </row>
    <row r="140" spans="1:11" x14ac:dyDescent="0.25">
      <c r="A140" s="16" t="str">
        <f>VLOOKUP(E140,Table1[[#All],[Campo]],1,0)</f>
        <v>imprmnt_stts</v>
      </c>
      <c r="B140" s="14" t="s">
        <v>1742</v>
      </c>
      <c r="C140" s="14" t="s">
        <v>1743</v>
      </c>
      <c r="D140" s="14" t="s">
        <v>1737</v>
      </c>
      <c r="E140" s="14" t="s">
        <v>1485</v>
      </c>
      <c r="F140" s="14" t="s">
        <v>1715</v>
      </c>
      <c r="G140" s="14" t="s">
        <v>1716</v>
      </c>
      <c r="H140" s="14" t="s">
        <v>624</v>
      </c>
      <c r="I140" s="14">
        <v>97233</v>
      </c>
      <c r="J140" s="14">
        <v>0</v>
      </c>
      <c r="K140" s="14">
        <v>0</v>
      </c>
    </row>
    <row r="141" spans="1:11" x14ac:dyDescent="0.25">
      <c r="A141" s="16" t="str">
        <f>VLOOKUP(E141,Table1[[#All],[Campo]],1,0)</f>
        <v>prfrmng_stts</v>
      </c>
      <c r="B141" s="14" t="s">
        <v>1744</v>
      </c>
      <c r="C141" s="14" t="s">
        <v>1745</v>
      </c>
      <c r="D141" s="14" t="s">
        <v>1714</v>
      </c>
      <c r="E141" s="14" t="s">
        <v>1412</v>
      </c>
      <c r="F141" s="14" t="s">
        <v>1715</v>
      </c>
      <c r="G141" s="14" t="s">
        <v>1716</v>
      </c>
      <c r="H141" s="14" t="s">
        <v>1409</v>
      </c>
      <c r="I141" s="14">
        <v>92666</v>
      </c>
      <c r="J141" s="14">
        <v>3283</v>
      </c>
      <c r="K141" s="14">
        <v>3.5428000000000002</v>
      </c>
    </row>
    <row r="142" spans="1:11" x14ac:dyDescent="0.25">
      <c r="A142" s="16" t="str">
        <f>VLOOKUP(E142,Table1[[#All],[Campo]],1,0)</f>
        <v>prfrmng_stts</v>
      </c>
      <c r="B142" s="14" t="s">
        <v>1746</v>
      </c>
      <c r="C142" s="14" t="s">
        <v>1747</v>
      </c>
      <c r="D142" s="14" t="s">
        <v>1714</v>
      </c>
      <c r="E142" s="14" t="s">
        <v>1412</v>
      </c>
      <c r="F142" s="14" t="s">
        <v>1715</v>
      </c>
      <c r="G142" s="14" t="s">
        <v>1716</v>
      </c>
      <c r="H142" s="14" t="s">
        <v>624</v>
      </c>
      <c r="I142" s="14">
        <v>114216</v>
      </c>
      <c r="J142" s="14">
        <v>0</v>
      </c>
      <c r="K142" s="14">
        <v>0</v>
      </c>
    </row>
    <row r="143" spans="1:11" x14ac:dyDescent="0.25">
      <c r="A143" s="16" t="str">
        <f>VLOOKUP(E143,Table1[[#All],[Campo]],1,0)</f>
        <v>prfrmng_stts</v>
      </c>
      <c r="B143" s="14" t="s">
        <v>1748</v>
      </c>
      <c r="C143" s="14" t="s">
        <v>1749</v>
      </c>
      <c r="D143" s="14" t="s">
        <v>1714</v>
      </c>
      <c r="E143" s="14" t="s">
        <v>1412</v>
      </c>
      <c r="F143" s="14" t="s">
        <v>1715</v>
      </c>
      <c r="G143" s="14" t="s">
        <v>1716</v>
      </c>
      <c r="H143" s="14" t="s">
        <v>624</v>
      </c>
      <c r="I143" s="14">
        <v>1408741</v>
      </c>
      <c r="J143" s="14">
        <v>0</v>
      </c>
      <c r="K143" s="14">
        <v>0</v>
      </c>
    </row>
    <row r="144" spans="1:11" x14ac:dyDescent="0.25">
      <c r="A144" s="16" t="str">
        <f>VLOOKUP(E144,Table1[[#All],[Campo]],1,0)</f>
        <v>prfrmng_stts</v>
      </c>
      <c r="B144" s="14" t="s">
        <v>1750</v>
      </c>
      <c r="C144" s="14" t="s">
        <v>1751</v>
      </c>
      <c r="D144" s="14" t="s">
        <v>1722</v>
      </c>
      <c r="E144" s="14" t="s">
        <v>1412</v>
      </c>
      <c r="F144" s="14" t="s">
        <v>1715</v>
      </c>
      <c r="G144" s="14" t="s">
        <v>1716</v>
      </c>
      <c r="H144" s="14" t="s">
        <v>624</v>
      </c>
      <c r="I144" s="14">
        <v>0</v>
      </c>
      <c r="J144" s="14">
        <v>0</v>
      </c>
      <c r="K144" s="14">
        <v>0</v>
      </c>
    </row>
    <row r="145" spans="1:11" x14ac:dyDescent="0.25">
      <c r="A145" s="16" t="str">
        <f>VLOOKUP(E145,Table1[[#All],[Campo]],1,0)</f>
        <v>prfrmng_stts</v>
      </c>
      <c r="B145" s="14" t="s">
        <v>1752</v>
      </c>
      <c r="C145" s="14" t="s">
        <v>1753</v>
      </c>
      <c r="D145" s="14" t="s">
        <v>1737</v>
      </c>
      <c r="E145" s="14" t="s">
        <v>1412</v>
      </c>
      <c r="F145" s="14" t="s">
        <v>1715</v>
      </c>
      <c r="G145" s="14" t="s">
        <v>1716</v>
      </c>
      <c r="H145" s="14" t="s">
        <v>624</v>
      </c>
      <c r="I145" s="14">
        <v>1905178</v>
      </c>
      <c r="J145" s="14">
        <v>0</v>
      </c>
      <c r="K145" s="14">
        <v>0</v>
      </c>
    </row>
    <row r="146" spans="1:11" x14ac:dyDescent="0.25">
      <c r="A146" s="16" t="str">
        <f>VLOOKUP(E146,Table1[[#All],[Campo]],1,0)</f>
        <v>prfrmng_stts</v>
      </c>
      <c r="B146" s="14" t="s">
        <v>1754</v>
      </c>
      <c r="C146" s="14" t="s">
        <v>1755</v>
      </c>
      <c r="D146" s="14" t="s">
        <v>1737</v>
      </c>
      <c r="E146" s="14" t="s">
        <v>1412</v>
      </c>
      <c r="F146" s="14" t="s">
        <v>1715</v>
      </c>
      <c r="G146" s="14" t="s">
        <v>1716</v>
      </c>
      <c r="H146" s="14" t="s">
        <v>624</v>
      </c>
      <c r="I146" s="14">
        <v>97233</v>
      </c>
      <c r="J146" s="14">
        <v>0</v>
      </c>
      <c r="K146" s="14">
        <v>0</v>
      </c>
    </row>
    <row r="147" spans="1:11" x14ac:dyDescent="0.25">
      <c r="A147" s="16" t="str">
        <f>VLOOKUP(E147,Table1[[#All],[Campo]],1,0)</f>
        <v>prfrmng_stts</v>
      </c>
      <c r="B147" s="14" t="s">
        <v>1756</v>
      </c>
      <c r="C147" s="14" t="s">
        <v>1757</v>
      </c>
      <c r="D147" s="14" t="s">
        <v>1722</v>
      </c>
      <c r="E147" s="14" t="s">
        <v>1412</v>
      </c>
      <c r="F147" s="14" t="s">
        <v>1715</v>
      </c>
      <c r="G147" s="14" t="s">
        <v>1716</v>
      </c>
      <c r="H147" s="14" t="s">
        <v>624</v>
      </c>
      <c r="I147" s="14">
        <v>0</v>
      </c>
      <c r="J147" s="14">
        <v>0</v>
      </c>
      <c r="K147" s="14">
        <v>0</v>
      </c>
    </row>
    <row r="148" spans="1:11" x14ac:dyDescent="0.25">
      <c r="A148" s="16" t="str">
        <f>VLOOKUP(E148,Table1[[#All],[Campo]],1,0)</f>
        <v>prfrmng_stts</v>
      </c>
      <c r="B148" s="14" t="s">
        <v>1758</v>
      </c>
      <c r="C148" s="14" t="s">
        <v>1759</v>
      </c>
      <c r="D148" s="14" t="s">
        <v>1714</v>
      </c>
      <c r="E148" s="14" t="s">
        <v>1412</v>
      </c>
      <c r="F148" s="14" t="s">
        <v>1715</v>
      </c>
      <c r="G148" s="14" t="s">
        <v>1716</v>
      </c>
      <c r="H148" s="14" t="s">
        <v>624</v>
      </c>
      <c r="I148" s="14">
        <v>97233</v>
      </c>
      <c r="J148" s="14">
        <v>0</v>
      </c>
      <c r="K148" s="14">
        <v>0</v>
      </c>
    </row>
    <row r="149" spans="1:11" x14ac:dyDescent="0.25">
      <c r="A149" s="16" t="str">
        <f>VLOOKUP(E149,Table1[[#All],[Campo]],1,0)</f>
        <v>prfrmng_stts</v>
      </c>
      <c r="B149" s="14" t="s">
        <v>1760</v>
      </c>
      <c r="C149" s="14" t="s">
        <v>1761</v>
      </c>
      <c r="D149" s="14" t="s">
        <v>1719</v>
      </c>
      <c r="E149" s="14" t="s">
        <v>1412</v>
      </c>
      <c r="F149" s="14" t="s">
        <v>1715</v>
      </c>
      <c r="G149" s="14" t="s">
        <v>1716</v>
      </c>
      <c r="H149" s="14" t="s">
        <v>1409</v>
      </c>
      <c r="I149" s="14">
        <v>113163</v>
      </c>
      <c r="J149" s="14">
        <v>15043</v>
      </c>
      <c r="K149" s="14">
        <v>13.293200000000001</v>
      </c>
    </row>
    <row r="150" spans="1:11" x14ac:dyDescent="0.25">
      <c r="A150" s="16" t="str">
        <f>VLOOKUP(E150,Table1[[#All],[Campo]],1,0)</f>
        <v>grss_crryng_amnt_instrmnt</v>
      </c>
      <c r="B150" s="14" t="s">
        <v>1762</v>
      </c>
      <c r="C150" s="14" t="s">
        <v>1763</v>
      </c>
      <c r="D150" s="14" t="s">
        <v>1714</v>
      </c>
      <c r="E150" s="14" t="s">
        <v>1493</v>
      </c>
      <c r="F150" s="14" t="s">
        <v>1715</v>
      </c>
      <c r="G150" s="14" t="s">
        <v>1716</v>
      </c>
      <c r="H150" s="14" t="s">
        <v>624</v>
      </c>
      <c r="I150" s="14">
        <v>1724899</v>
      </c>
      <c r="J150" s="14">
        <v>0</v>
      </c>
      <c r="K150" s="14">
        <v>0</v>
      </c>
    </row>
    <row r="151" spans="1:11" x14ac:dyDescent="0.25">
      <c r="A151" s="16" t="str">
        <f>VLOOKUP(E151,Table1[[#All],[Campo]],1,0)</f>
        <v>grss_crryng_amnt_instrmnt</v>
      </c>
      <c r="B151" s="14" t="s">
        <v>1764</v>
      </c>
      <c r="C151" s="14" t="s">
        <v>1765</v>
      </c>
      <c r="D151" s="14" t="s">
        <v>1714</v>
      </c>
      <c r="E151" s="14" t="s">
        <v>1493</v>
      </c>
      <c r="F151" s="14" t="s">
        <v>1715</v>
      </c>
      <c r="G151" s="14" t="s">
        <v>1716</v>
      </c>
      <c r="H151" s="14" t="s">
        <v>624</v>
      </c>
      <c r="I151" s="14">
        <v>0</v>
      </c>
      <c r="J151" s="14">
        <v>0</v>
      </c>
      <c r="K151" s="14">
        <v>0</v>
      </c>
    </row>
    <row r="152" spans="1:11" x14ac:dyDescent="0.25">
      <c r="A152" s="16" t="str">
        <f>VLOOKUP(E152,Table1[[#All],[Campo]],1,0)</f>
        <v>grss_crryng_amnt_instrmnt</v>
      </c>
      <c r="B152" s="14" t="s">
        <v>1766</v>
      </c>
      <c r="C152" s="14" t="s">
        <v>1767</v>
      </c>
      <c r="D152" s="14" t="s">
        <v>1714</v>
      </c>
      <c r="E152" s="14" t="s">
        <v>1493</v>
      </c>
      <c r="F152" s="14" t="s">
        <v>1715</v>
      </c>
      <c r="G152" s="14" t="s">
        <v>1716</v>
      </c>
      <c r="H152" s="14" t="s">
        <v>624</v>
      </c>
      <c r="I152" s="14">
        <v>277512</v>
      </c>
      <c r="J152" s="14">
        <v>0</v>
      </c>
      <c r="K152" s="14">
        <v>0</v>
      </c>
    </row>
    <row r="153" spans="1:11" x14ac:dyDescent="0.25">
      <c r="A153" s="16" t="str">
        <f>VLOOKUP(E153,Table1[[#All],[Campo]],1,0)</f>
        <v>accmltd_chngs_fv_cr_instrmnt</v>
      </c>
      <c r="B153" s="14" t="s">
        <v>1768</v>
      </c>
      <c r="C153" s="14" t="s">
        <v>1769</v>
      </c>
      <c r="D153" s="14" t="s">
        <v>1714</v>
      </c>
      <c r="E153" s="14" t="s">
        <v>1497</v>
      </c>
      <c r="F153" s="14" t="s">
        <v>1715</v>
      </c>
      <c r="G153" s="14" t="s">
        <v>1716</v>
      </c>
      <c r="H153" s="14" t="s">
        <v>624</v>
      </c>
      <c r="I153" s="14">
        <v>305642</v>
      </c>
      <c r="J153" s="14">
        <v>0</v>
      </c>
      <c r="K153" s="14">
        <v>0</v>
      </c>
    </row>
    <row r="154" spans="1:11" x14ac:dyDescent="0.25">
      <c r="A154" s="16" t="str">
        <f>VLOOKUP(E154,Table1[[#All],[Campo]],1,0)</f>
        <v>accmltd_chngs_fv_cr_instrmnt</v>
      </c>
      <c r="B154" s="14" t="s">
        <v>1770</v>
      </c>
      <c r="C154" s="14" t="s">
        <v>1771</v>
      </c>
      <c r="D154" s="14" t="s">
        <v>1714</v>
      </c>
      <c r="E154" s="14" t="s">
        <v>1497</v>
      </c>
      <c r="F154" s="14" t="s">
        <v>1715</v>
      </c>
      <c r="G154" s="14" t="s">
        <v>1716</v>
      </c>
      <c r="H154" s="14" t="s">
        <v>624</v>
      </c>
      <c r="I154" s="14">
        <v>0</v>
      </c>
      <c r="J154" s="14">
        <v>0</v>
      </c>
      <c r="K154" s="14">
        <v>0</v>
      </c>
    </row>
    <row r="155" spans="1:11" x14ac:dyDescent="0.25">
      <c r="A155" s="16" t="str">
        <f>VLOOKUP(E155,Table1[[#All],[Campo]],1,0)</f>
        <v>accntng_clssfctn</v>
      </c>
      <c r="B155" s="14" t="s">
        <v>1772</v>
      </c>
      <c r="C155" s="14" t="s">
        <v>1773</v>
      </c>
      <c r="D155" s="14" t="s">
        <v>1714</v>
      </c>
      <c r="E155" s="14" t="s">
        <v>1500</v>
      </c>
      <c r="F155" s="14" t="s">
        <v>1715</v>
      </c>
      <c r="G155" s="14" t="s">
        <v>1716</v>
      </c>
      <c r="H155" s="14" t="s">
        <v>624</v>
      </c>
      <c r="I155" s="14">
        <v>1724797</v>
      </c>
      <c r="J155" s="14">
        <v>0</v>
      </c>
      <c r="K155" s="14">
        <v>0</v>
      </c>
    </row>
    <row r="156" spans="1:11" x14ac:dyDescent="0.25">
      <c r="A156" s="16" t="str">
        <f>VLOOKUP(E156,Table1[[#All],[Campo]],1,0)</f>
        <v>accntng_clssfctn</v>
      </c>
      <c r="B156" s="14" t="s">
        <v>1774</v>
      </c>
      <c r="C156" s="14" t="s">
        <v>1775</v>
      </c>
      <c r="D156" s="14" t="s">
        <v>1714</v>
      </c>
      <c r="E156" s="14" t="s">
        <v>1500</v>
      </c>
      <c r="F156" s="14" t="s">
        <v>1715</v>
      </c>
      <c r="G156" s="14" t="s">
        <v>1716</v>
      </c>
      <c r="H156" s="14" t="s">
        <v>624</v>
      </c>
      <c r="I156" s="14">
        <v>93</v>
      </c>
      <c r="J156" s="14">
        <v>0</v>
      </c>
      <c r="K156" s="14">
        <v>0</v>
      </c>
    </row>
    <row r="157" spans="1:11" x14ac:dyDescent="0.25">
      <c r="A157" s="16" t="str">
        <f>VLOOKUP(E157,Table1[[#All],[Campo]],1,0)</f>
        <v>accntng_clssfctn</v>
      </c>
      <c r="B157" s="14" t="s">
        <v>1776</v>
      </c>
      <c r="C157" s="14" t="s">
        <v>1777</v>
      </c>
      <c r="D157" s="14" t="s">
        <v>1714</v>
      </c>
      <c r="E157" s="14" t="s">
        <v>1500</v>
      </c>
      <c r="F157" s="14" t="s">
        <v>1715</v>
      </c>
      <c r="G157" s="14" t="s">
        <v>1716</v>
      </c>
      <c r="H157" s="14" t="s">
        <v>624</v>
      </c>
      <c r="I157" s="14">
        <v>0</v>
      </c>
      <c r="J157" s="14">
        <v>0</v>
      </c>
      <c r="K157" s="14">
        <v>0</v>
      </c>
    </row>
    <row r="158" spans="1:11" x14ac:dyDescent="0.25">
      <c r="A158" s="16" t="str">
        <f>VLOOKUP(E158,Table1[[#All],[Campo]],1,0)</f>
        <v>accntng_clssfctn</v>
      </c>
      <c r="B158" s="14" t="s">
        <v>1778</v>
      </c>
      <c r="C158" s="14" t="s">
        <v>1779</v>
      </c>
      <c r="D158" s="14" t="s">
        <v>1714</v>
      </c>
      <c r="E158" s="14" t="s">
        <v>1500</v>
      </c>
      <c r="F158" s="14" t="s">
        <v>1715</v>
      </c>
      <c r="G158" s="14" t="s">
        <v>1716</v>
      </c>
      <c r="H158" s="14" t="s">
        <v>624</v>
      </c>
      <c r="I158" s="14">
        <v>9</v>
      </c>
      <c r="J158" s="14">
        <v>0</v>
      </c>
      <c r="K158" s="14">
        <v>0</v>
      </c>
    </row>
    <row r="159" spans="1:11" x14ac:dyDescent="0.25">
      <c r="A159" s="16" t="e">
        <f>VLOOKUP(E159,Table1[[#All],[Campo]],1,0)</f>
        <v>#N/A</v>
      </c>
      <c r="B159" s="14" t="s">
        <v>1780</v>
      </c>
      <c r="C159" s="14" t="s">
        <v>1781</v>
      </c>
      <c r="D159" s="14" t="s">
        <v>1714</v>
      </c>
      <c r="E159" s="14" t="s">
        <v>1503</v>
      </c>
      <c r="F159" s="14" t="s">
        <v>1715</v>
      </c>
      <c r="G159" s="14" t="s">
        <v>1716</v>
      </c>
      <c r="H159" s="14" t="s">
        <v>1409</v>
      </c>
      <c r="I159" s="14">
        <v>2002318</v>
      </c>
      <c r="J159" s="14">
        <v>317</v>
      </c>
      <c r="K159" s="14">
        <v>1.5800000000000002E-2</v>
      </c>
    </row>
    <row r="160" spans="1:11" x14ac:dyDescent="0.25">
      <c r="A160" s="16" t="e">
        <f>VLOOKUP(E160,Table1[[#All],[Campo]],1,0)</f>
        <v>#N/A</v>
      </c>
      <c r="B160" s="14" t="s">
        <v>1782</v>
      </c>
      <c r="C160" s="14" t="s">
        <v>1783</v>
      </c>
      <c r="D160" s="14" t="s">
        <v>1714</v>
      </c>
      <c r="E160" s="14" t="s">
        <v>1503</v>
      </c>
      <c r="F160" s="14" t="s">
        <v>1715</v>
      </c>
      <c r="G160" s="14" t="s">
        <v>1716</v>
      </c>
      <c r="H160" s="14" t="s">
        <v>624</v>
      </c>
      <c r="I160" s="14">
        <v>1646037</v>
      </c>
      <c r="J160" s="14">
        <v>0</v>
      </c>
      <c r="K160" s="14">
        <v>0</v>
      </c>
    </row>
    <row r="161" spans="1:11" x14ac:dyDescent="0.25">
      <c r="A161" s="16" t="e">
        <f>VLOOKUP(E161,Table1[[#All],[Campo]],1,0)</f>
        <v>#N/A</v>
      </c>
      <c r="B161" s="14" t="s">
        <v>1784</v>
      </c>
      <c r="C161" s="14" t="s">
        <v>1785</v>
      </c>
      <c r="D161" s="14" t="s">
        <v>1714</v>
      </c>
      <c r="E161" s="14" t="s">
        <v>1503</v>
      </c>
      <c r="F161" s="14" t="s">
        <v>1715</v>
      </c>
      <c r="G161" s="14" t="s">
        <v>1716</v>
      </c>
      <c r="H161" s="14" t="s">
        <v>624</v>
      </c>
      <c r="I161" s="14">
        <v>253</v>
      </c>
      <c r="J161" s="14">
        <v>0</v>
      </c>
      <c r="K161" s="14">
        <v>0</v>
      </c>
    </row>
    <row r="162" spans="1:11" x14ac:dyDescent="0.25">
      <c r="A162" s="16" t="e">
        <f>VLOOKUP(E162,Table1[[#All],[Campo]],1,0)</f>
        <v>#N/A</v>
      </c>
      <c r="B162" s="14" t="s">
        <v>1786</v>
      </c>
      <c r="C162" s="14" t="s">
        <v>1787</v>
      </c>
      <c r="D162" s="14" t="s">
        <v>1714</v>
      </c>
      <c r="E162" s="14" t="s">
        <v>1503</v>
      </c>
      <c r="F162" s="14" t="s">
        <v>1715</v>
      </c>
      <c r="G162" s="14" t="s">
        <v>1716</v>
      </c>
      <c r="H162" s="14" t="s">
        <v>624</v>
      </c>
      <c r="I162" s="14">
        <v>3</v>
      </c>
      <c r="J162" s="14">
        <v>0</v>
      </c>
      <c r="K162" s="14">
        <v>0</v>
      </c>
    </row>
    <row r="163" spans="1:11" x14ac:dyDescent="0.25">
      <c r="A163" s="16" t="e">
        <f>VLOOKUP(E163,Table1[[#All],[Campo]],1,0)</f>
        <v>#N/A</v>
      </c>
      <c r="B163" s="14" t="s">
        <v>1788</v>
      </c>
      <c r="C163" s="14" t="s">
        <v>1789</v>
      </c>
      <c r="D163" s="14" t="s">
        <v>1714</v>
      </c>
      <c r="E163" s="14" t="s">
        <v>1506</v>
      </c>
      <c r="F163" s="14" t="s">
        <v>1715</v>
      </c>
      <c r="G163" s="14" t="s">
        <v>1716</v>
      </c>
      <c r="H163" s="14" t="s">
        <v>624</v>
      </c>
      <c r="I163" s="14">
        <v>0</v>
      </c>
      <c r="J163" s="14">
        <v>0</v>
      </c>
      <c r="K163" s="14">
        <v>0</v>
      </c>
    </row>
    <row r="164" spans="1:11" x14ac:dyDescent="0.25">
      <c r="A164" s="16" t="e">
        <f>VLOOKUP(E164,Table1[[#All],[Campo]],1,0)</f>
        <v>#N/A</v>
      </c>
      <c r="B164" s="14" t="s">
        <v>1790</v>
      </c>
      <c r="C164" s="14" t="s">
        <v>1791</v>
      </c>
      <c r="D164" s="14" t="s">
        <v>1714</v>
      </c>
      <c r="E164" s="14" t="s">
        <v>1506</v>
      </c>
      <c r="F164" s="14" t="s">
        <v>1715</v>
      </c>
      <c r="G164" s="14" t="s">
        <v>1716</v>
      </c>
      <c r="H164" s="14" t="s">
        <v>624</v>
      </c>
      <c r="I164" s="14">
        <v>3</v>
      </c>
      <c r="J164" s="14">
        <v>0</v>
      </c>
      <c r="K164" s="14">
        <v>0</v>
      </c>
    </row>
    <row r="165" spans="1:11" x14ac:dyDescent="0.25">
      <c r="A165" s="16" t="str">
        <f>VLOOKUP(E165,Table1[[#All],[Campo]],1,0)</f>
        <v>accmltd_imprmnt_instrmnt</v>
      </c>
      <c r="B165" s="14" t="s">
        <v>1792</v>
      </c>
      <c r="C165" s="14" t="s">
        <v>1793</v>
      </c>
      <c r="D165" s="14" t="s">
        <v>1714</v>
      </c>
      <c r="E165" s="14" t="s">
        <v>1512</v>
      </c>
      <c r="F165" s="14" t="s">
        <v>1715</v>
      </c>
      <c r="G165" s="14" t="s">
        <v>1716</v>
      </c>
      <c r="H165" s="14" t="s">
        <v>624</v>
      </c>
      <c r="I165" s="14">
        <v>0</v>
      </c>
      <c r="J165" s="14">
        <v>0</v>
      </c>
      <c r="K165" s="14">
        <v>0</v>
      </c>
    </row>
    <row r="166" spans="1:11" x14ac:dyDescent="0.25">
      <c r="A166" s="16" t="str">
        <f>VLOOKUP(E166,Table1[[#All],[Campo]],1,0)</f>
        <v>accmltd_imprmnt_instrmnt</v>
      </c>
      <c r="B166" s="14" t="s">
        <v>1794</v>
      </c>
      <c r="C166" s="14" t="s">
        <v>1795</v>
      </c>
      <c r="D166" s="14" t="s">
        <v>1714</v>
      </c>
      <c r="E166" s="14" t="s">
        <v>1512</v>
      </c>
      <c r="F166" s="14" t="s">
        <v>1715</v>
      </c>
      <c r="G166" s="14" t="s">
        <v>1716</v>
      </c>
      <c r="H166" s="14" t="s">
        <v>624</v>
      </c>
      <c r="I166" s="14">
        <v>277512</v>
      </c>
      <c r="J166" s="14">
        <v>0</v>
      </c>
      <c r="K166" s="14">
        <v>0</v>
      </c>
    </row>
    <row r="167" spans="1:11" x14ac:dyDescent="0.25">
      <c r="A167" s="16" t="str">
        <f>VLOOKUP(E167,Table1[[#All],[Campo]],1,0)</f>
        <v>accmltd_imprmnt_instrmnt</v>
      </c>
      <c r="B167" s="14" t="s">
        <v>1796</v>
      </c>
      <c r="C167" s="14" t="s">
        <v>1797</v>
      </c>
      <c r="D167" s="14" t="s">
        <v>1714</v>
      </c>
      <c r="E167" s="14" t="s">
        <v>1512</v>
      </c>
      <c r="F167" s="14" t="s">
        <v>1715</v>
      </c>
      <c r="G167" s="14" t="s">
        <v>1716</v>
      </c>
      <c r="H167" s="14" t="s">
        <v>624</v>
      </c>
      <c r="I167" s="14">
        <v>3</v>
      </c>
      <c r="J167" s="14">
        <v>0</v>
      </c>
      <c r="K167" s="14">
        <v>0</v>
      </c>
    </row>
    <row r="168" spans="1:11" x14ac:dyDescent="0.25">
      <c r="A168" s="16" t="str">
        <f>VLOOKUP(E168,Table1[[#All],[Campo]],1,0)</f>
        <v>sstnbl_indctr</v>
      </c>
      <c r="B168" s="14" t="s">
        <v>1798</v>
      </c>
      <c r="C168" s="14" t="s">
        <v>1799</v>
      </c>
      <c r="D168" s="14" t="s">
        <v>1714</v>
      </c>
      <c r="E168" s="14" t="s">
        <v>1418</v>
      </c>
      <c r="F168" s="14" t="s">
        <v>1715</v>
      </c>
      <c r="G168" s="14" t="s">
        <v>1716</v>
      </c>
      <c r="H168" s="14" t="s">
        <v>624</v>
      </c>
      <c r="I168" s="14">
        <v>0</v>
      </c>
      <c r="J168" s="14">
        <v>0</v>
      </c>
      <c r="K168" s="14">
        <v>0</v>
      </c>
    </row>
    <row r="169" spans="1:11" x14ac:dyDescent="0.25">
      <c r="A169" s="16" t="str">
        <f>VLOOKUP(E169,Table1[[#All],[Campo]],1,0)</f>
        <v>sstnbl_indctr</v>
      </c>
      <c r="B169" s="14" t="s">
        <v>1800</v>
      </c>
      <c r="C169" s="14" t="s">
        <v>1801</v>
      </c>
      <c r="D169" s="14" t="s">
        <v>1714</v>
      </c>
      <c r="E169" s="14" t="s">
        <v>1418</v>
      </c>
      <c r="F169" s="14" t="s">
        <v>1715</v>
      </c>
      <c r="G169" s="14" t="s">
        <v>1716</v>
      </c>
      <c r="H169" s="14" t="s">
        <v>624</v>
      </c>
      <c r="I169" s="14">
        <v>0</v>
      </c>
      <c r="J169" s="14">
        <v>0</v>
      </c>
      <c r="K169" s="14">
        <v>0</v>
      </c>
    </row>
    <row r="170" spans="1:11" x14ac:dyDescent="0.25">
      <c r="A170" s="16" t="str">
        <f>VLOOKUP(E170,Table1[[#All],[Campo]],1,0)</f>
        <v>sstnbl_ctgry</v>
      </c>
      <c r="B170" s="14" t="s">
        <v>1802</v>
      </c>
      <c r="C170" s="14" t="s">
        <v>1803</v>
      </c>
      <c r="D170" s="14" t="s">
        <v>1719</v>
      </c>
      <c r="E170" s="14" t="s">
        <v>1422</v>
      </c>
      <c r="F170" s="14" t="s">
        <v>1715</v>
      </c>
      <c r="G170" s="14" t="s">
        <v>1716</v>
      </c>
      <c r="H170" s="14" t="s">
        <v>624</v>
      </c>
      <c r="I170" s="14">
        <v>0</v>
      </c>
      <c r="J170" s="14">
        <v>0</v>
      </c>
      <c r="K170" s="14">
        <v>0</v>
      </c>
    </row>
    <row r="171" spans="1:11" x14ac:dyDescent="0.25">
      <c r="A171" s="16" t="str">
        <f>VLOOKUP(E171,Table1[[#All],[Campo]],1,0)</f>
        <v>sstnbl_ctgry</v>
      </c>
      <c r="B171" s="14" t="s">
        <v>1804</v>
      </c>
      <c r="C171" s="14" t="s">
        <v>1805</v>
      </c>
      <c r="D171" s="14" t="s">
        <v>1719</v>
      </c>
      <c r="E171" s="14" t="s">
        <v>1422</v>
      </c>
      <c r="F171" s="14" t="s">
        <v>1715</v>
      </c>
      <c r="G171" s="14" t="s">
        <v>1716</v>
      </c>
      <c r="H171" s="14" t="s">
        <v>624</v>
      </c>
      <c r="I171" s="14">
        <v>0</v>
      </c>
      <c r="J171" s="14">
        <v>0</v>
      </c>
      <c r="K171" s="14">
        <v>0</v>
      </c>
    </row>
    <row r="172" spans="1:11" x14ac:dyDescent="0.25">
      <c r="A172" s="16" t="str">
        <f>VLOOKUP(E172,Table1[[#All],[Campo]],1,0)</f>
        <v>sstnbl_ctgry</v>
      </c>
      <c r="B172" s="14" t="s">
        <v>1806</v>
      </c>
      <c r="C172" s="14" t="s">
        <v>1807</v>
      </c>
      <c r="D172" s="14" t="s">
        <v>1719</v>
      </c>
      <c r="E172" s="14" t="s">
        <v>1422</v>
      </c>
      <c r="F172" s="14" t="s">
        <v>1715</v>
      </c>
      <c r="G172" s="14" t="s">
        <v>1716</v>
      </c>
      <c r="H172" s="14" t="s">
        <v>624</v>
      </c>
      <c r="I172" s="14">
        <v>0</v>
      </c>
      <c r="J172" s="14">
        <v>0</v>
      </c>
      <c r="K172" s="14">
        <v>0</v>
      </c>
    </row>
    <row r="173" spans="1:11" x14ac:dyDescent="0.25">
      <c r="A173" s="16" t="str">
        <f>VLOOKUP(E173,Table1[[#All],[Campo]],1,0)</f>
        <v>sstnbl_ctgry</v>
      </c>
      <c r="B173" s="14" t="s">
        <v>1808</v>
      </c>
      <c r="C173" s="14" t="s">
        <v>1809</v>
      </c>
      <c r="D173" s="14" t="s">
        <v>1719</v>
      </c>
      <c r="E173" s="14" t="s">
        <v>1422</v>
      </c>
      <c r="F173" s="14" t="s">
        <v>1715</v>
      </c>
      <c r="G173" s="14" t="s">
        <v>1716</v>
      </c>
      <c r="H173" s="14" t="s">
        <v>624</v>
      </c>
      <c r="I173" s="14">
        <v>0</v>
      </c>
      <c r="J173" s="14">
        <v>0</v>
      </c>
      <c r="K173" s="14">
        <v>0</v>
      </c>
    </row>
    <row r="174" spans="1:11" x14ac:dyDescent="0.25">
      <c r="A174" s="16" t="str">
        <f>VLOOKUP(E174,Table1[[#All],[Campo]],1,0)</f>
        <v>sstnbl_ctgry</v>
      </c>
      <c r="B174" s="14" t="s">
        <v>1810</v>
      </c>
      <c r="C174" s="14" t="s">
        <v>1811</v>
      </c>
      <c r="D174" s="14" t="s">
        <v>1719</v>
      </c>
      <c r="E174" s="14" t="s">
        <v>1422</v>
      </c>
      <c r="F174" s="14" t="s">
        <v>1715</v>
      </c>
      <c r="G174" s="14" t="s">
        <v>1716</v>
      </c>
      <c r="H174" s="14" t="s">
        <v>624</v>
      </c>
      <c r="I174" s="14">
        <v>0</v>
      </c>
      <c r="J174" s="14">
        <v>0</v>
      </c>
      <c r="K174" s="14">
        <v>0</v>
      </c>
    </row>
    <row r="175" spans="1:11" x14ac:dyDescent="0.25">
      <c r="A175" s="16" t="str">
        <f>VLOOKUP(E175,Table1[[#All],[Campo]],1,0)</f>
        <v>sstnbl_ctgry</v>
      </c>
      <c r="B175" s="14" t="s">
        <v>1812</v>
      </c>
      <c r="C175" s="14" t="s">
        <v>1813</v>
      </c>
      <c r="D175" s="14" t="s">
        <v>1719</v>
      </c>
      <c r="E175" s="14" t="s">
        <v>1422</v>
      </c>
      <c r="F175" s="14" t="s">
        <v>1715</v>
      </c>
      <c r="G175" s="14" t="s">
        <v>1716</v>
      </c>
      <c r="H175" s="14" t="s">
        <v>624</v>
      </c>
      <c r="I175" s="14">
        <v>0</v>
      </c>
      <c r="J175" s="14">
        <v>0</v>
      </c>
      <c r="K175" s="14">
        <v>0</v>
      </c>
    </row>
    <row r="176" spans="1:11" x14ac:dyDescent="0.25">
      <c r="A176" s="16" t="str">
        <f>VLOOKUP(E176,Table1[[#All],[Campo]],1,0)</f>
        <v>sstnbl_ctgry</v>
      </c>
      <c r="B176" s="14" t="s">
        <v>1814</v>
      </c>
      <c r="C176" s="14" t="s">
        <v>1815</v>
      </c>
      <c r="D176" s="14" t="s">
        <v>1719</v>
      </c>
      <c r="E176" s="14" t="s">
        <v>1422</v>
      </c>
      <c r="F176" s="14" t="s">
        <v>1715</v>
      </c>
      <c r="G176" s="14" t="s">
        <v>1716</v>
      </c>
      <c r="H176" s="14" t="s">
        <v>624</v>
      </c>
      <c r="I176" s="14">
        <v>0</v>
      </c>
      <c r="J176" s="14">
        <v>0</v>
      </c>
      <c r="K176" s="14">
        <v>0</v>
      </c>
    </row>
    <row r="177" spans="1:11" x14ac:dyDescent="0.25">
      <c r="A177" s="16" t="str">
        <f>VLOOKUP(E177,Table1[[#All],[Campo]],1,0)</f>
        <v>sstnbl_ctgry</v>
      </c>
      <c r="B177" s="14" t="s">
        <v>1816</v>
      </c>
      <c r="C177" s="14" t="s">
        <v>1817</v>
      </c>
      <c r="D177" s="14" t="s">
        <v>1719</v>
      </c>
      <c r="E177" s="14" t="s">
        <v>1422</v>
      </c>
      <c r="F177" s="14" t="s">
        <v>1715</v>
      </c>
      <c r="G177" s="14" t="s">
        <v>1716</v>
      </c>
      <c r="H177" s="14" t="s">
        <v>624</v>
      </c>
      <c r="I177" s="14">
        <v>0</v>
      </c>
      <c r="J177" s="14">
        <v>0</v>
      </c>
      <c r="K177" s="14">
        <v>0</v>
      </c>
    </row>
    <row r="178" spans="1:11" x14ac:dyDescent="0.25">
      <c r="A178" s="16" t="str">
        <f>VLOOKUP(E178,Table1[[#All],[Campo]],1,0)</f>
        <v>sstnbl_ctgry</v>
      </c>
      <c r="B178" s="14" t="s">
        <v>1818</v>
      </c>
      <c r="C178" s="14" t="s">
        <v>1819</v>
      </c>
      <c r="D178" s="14" t="s">
        <v>1719</v>
      </c>
      <c r="E178" s="14" t="s">
        <v>1422</v>
      </c>
      <c r="F178" s="14" t="s">
        <v>1715</v>
      </c>
      <c r="G178" s="14" t="s">
        <v>1716</v>
      </c>
      <c r="H178" s="14" t="s">
        <v>624</v>
      </c>
      <c r="I178" s="14">
        <v>0</v>
      </c>
      <c r="J178" s="14">
        <v>0</v>
      </c>
      <c r="K178" s="14">
        <v>0</v>
      </c>
    </row>
    <row r="179" spans="1:11" x14ac:dyDescent="0.25">
      <c r="A179" s="16" t="str">
        <f>VLOOKUP(E179,Table1[[#All],[Campo]],1,0)</f>
        <v>sstnbl_ctgry</v>
      </c>
      <c r="B179" s="14" t="s">
        <v>1820</v>
      </c>
      <c r="C179" s="14" t="s">
        <v>1821</v>
      </c>
      <c r="D179" s="14" t="s">
        <v>1719</v>
      </c>
      <c r="E179" s="14" t="s">
        <v>1422</v>
      </c>
      <c r="F179" s="14" t="s">
        <v>1715</v>
      </c>
      <c r="G179" s="14" t="s">
        <v>1716</v>
      </c>
      <c r="H179" s="14" t="s">
        <v>624</v>
      </c>
      <c r="I179" s="14">
        <v>0</v>
      </c>
      <c r="J179" s="14">
        <v>0</v>
      </c>
      <c r="K179" s="14">
        <v>0</v>
      </c>
    </row>
    <row r="180" spans="1:11" x14ac:dyDescent="0.25">
      <c r="A180" s="16" t="str">
        <f>VLOOKUP(E180,Table1[[#All],[Campo]],1,0)</f>
        <v>sstnbl_ctgry</v>
      </c>
      <c r="B180" s="14" t="s">
        <v>1822</v>
      </c>
      <c r="C180" s="14" t="s">
        <v>1823</v>
      </c>
      <c r="D180" s="14" t="s">
        <v>1719</v>
      </c>
      <c r="E180" s="14" t="s">
        <v>1422</v>
      </c>
      <c r="F180" s="14" t="s">
        <v>1715</v>
      </c>
      <c r="G180" s="14" t="s">
        <v>1716</v>
      </c>
      <c r="H180" s="14" t="s">
        <v>624</v>
      </c>
      <c r="I180" s="14">
        <v>0</v>
      </c>
      <c r="J180" s="14">
        <v>0</v>
      </c>
      <c r="K180" s="14">
        <v>0</v>
      </c>
    </row>
    <row r="181" spans="1:11" x14ac:dyDescent="0.25">
      <c r="A181" s="16" t="str">
        <f>VLOOKUP(E181,Table1[[#All],[Campo]],1,0)</f>
        <v>sstnbl_ctgry</v>
      </c>
      <c r="B181" s="14" t="s">
        <v>1824</v>
      </c>
      <c r="C181" s="14" t="s">
        <v>1825</v>
      </c>
      <c r="D181" s="14" t="s">
        <v>1719</v>
      </c>
      <c r="E181" s="14" t="s">
        <v>1422</v>
      </c>
      <c r="F181" s="14" t="s">
        <v>1715</v>
      </c>
      <c r="G181" s="14" t="s">
        <v>1716</v>
      </c>
      <c r="H181" s="14" t="s">
        <v>624</v>
      </c>
      <c r="I181" s="14">
        <v>0</v>
      </c>
      <c r="J181" s="14">
        <v>0</v>
      </c>
      <c r="K181" s="14">
        <v>0</v>
      </c>
    </row>
    <row r="182" spans="1:11" x14ac:dyDescent="0.25">
      <c r="A182" s="16" t="str">
        <f>VLOOKUP(E182,Table1[[#All],[Campo]],1,0)</f>
        <v>sstnbl_ctgry</v>
      </c>
      <c r="B182" s="14" t="s">
        <v>1826</v>
      </c>
      <c r="C182" s="14" t="s">
        <v>1827</v>
      </c>
      <c r="D182" s="14" t="s">
        <v>1719</v>
      </c>
      <c r="E182" s="14" t="s">
        <v>1422</v>
      </c>
      <c r="F182" s="14" t="s">
        <v>1715</v>
      </c>
      <c r="G182" s="14" t="s">
        <v>1716</v>
      </c>
      <c r="H182" s="14" t="s">
        <v>624</v>
      </c>
      <c r="I182" s="14">
        <v>0</v>
      </c>
      <c r="J182" s="14">
        <v>0</v>
      </c>
      <c r="K182" s="14">
        <v>0</v>
      </c>
    </row>
    <row r="183" spans="1:11" x14ac:dyDescent="0.25">
      <c r="A183" s="16" t="str">
        <f>VLOOKUP(E183,Table1[[#All],[Campo]],1,0)</f>
        <v>sstnbl_ctgry</v>
      </c>
      <c r="B183" s="14" t="s">
        <v>1828</v>
      </c>
      <c r="C183" s="14" t="s">
        <v>1829</v>
      </c>
      <c r="D183" s="14" t="s">
        <v>1719</v>
      </c>
      <c r="E183" s="14" t="s">
        <v>1422</v>
      </c>
      <c r="F183" s="14" t="s">
        <v>1715</v>
      </c>
      <c r="G183" s="14" t="s">
        <v>1716</v>
      </c>
      <c r="H183" s="14" t="s">
        <v>624</v>
      </c>
      <c r="I183" s="14">
        <v>0</v>
      </c>
      <c r="J183" s="14">
        <v>0</v>
      </c>
      <c r="K183" s="14">
        <v>0</v>
      </c>
    </row>
    <row r="184" spans="1:11" x14ac:dyDescent="0.25">
      <c r="A184" s="16" t="str">
        <f>VLOOKUP(E184,Table1[[#All],[Campo]],1,0)</f>
        <v>grss_intrst_incm</v>
      </c>
      <c r="B184" s="14" t="s">
        <v>1830</v>
      </c>
      <c r="C184" s="14" t="s">
        <v>1831</v>
      </c>
      <c r="D184" s="14" t="s">
        <v>1714</v>
      </c>
      <c r="E184" s="14" t="s">
        <v>1529</v>
      </c>
      <c r="F184" s="14" t="s">
        <v>1715</v>
      </c>
      <c r="G184" s="14" t="s">
        <v>1716</v>
      </c>
      <c r="H184" s="14" t="s">
        <v>624</v>
      </c>
      <c r="I184" s="14">
        <v>0</v>
      </c>
      <c r="J184" s="14">
        <v>0</v>
      </c>
      <c r="K184" s="14">
        <v>0</v>
      </c>
    </row>
    <row r="185" spans="1:11" x14ac:dyDescent="0.25">
      <c r="A185" s="16" t="str">
        <f>VLOOKUP(E185,Table1[[#All],[Campo]],1,0)</f>
        <v>grss_intrst_incm</v>
      </c>
      <c r="B185" s="14" t="s">
        <v>1832</v>
      </c>
      <c r="C185" s="14" t="s">
        <v>1833</v>
      </c>
      <c r="D185" s="14" t="s">
        <v>1714</v>
      </c>
      <c r="E185" s="14" t="s">
        <v>1529</v>
      </c>
      <c r="F185" s="14" t="s">
        <v>1715</v>
      </c>
      <c r="G185" s="14" t="s">
        <v>1716</v>
      </c>
      <c r="H185" s="14" t="s">
        <v>624</v>
      </c>
      <c r="I185" s="14">
        <v>0</v>
      </c>
      <c r="J185" s="14">
        <v>0</v>
      </c>
      <c r="K185" s="14">
        <v>0</v>
      </c>
    </row>
    <row r="186" spans="1:11" x14ac:dyDescent="0.25">
      <c r="A186" s="16" t="s">
        <v>1530</v>
      </c>
      <c r="B186" s="14" t="s">
        <v>1834</v>
      </c>
      <c r="C186" s="14" t="s">
        <v>1835</v>
      </c>
      <c r="D186" s="14" t="s">
        <v>1714</v>
      </c>
      <c r="E186" s="14" t="s">
        <v>1533</v>
      </c>
      <c r="F186" s="14" t="s">
        <v>1715</v>
      </c>
      <c r="G186" s="14" t="s">
        <v>1716</v>
      </c>
      <c r="H186" s="14" t="s">
        <v>624</v>
      </c>
      <c r="I186" s="14">
        <v>0</v>
      </c>
      <c r="J186" s="14">
        <v>0</v>
      </c>
      <c r="K186" s="14">
        <v>0</v>
      </c>
    </row>
    <row r="187" spans="1:11" x14ac:dyDescent="0.25">
      <c r="A187" s="16" t="s">
        <v>1530</v>
      </c>
      <c r="B187" s="14" t="s">
        <v>1836</v>
      </c>
      <c r="C187" s="14" t="s">
        <v>1837</v>
      </c>
      <c r="D187" s="14" t="s">
        <v>1714</v>
      </c>
      <c r="E187" s="14" t="s">
        <v>1533</v>
      </c>
      <c r="F187" s="14" t="s">
        <v>1715</v>
      </c>
      <c r="G187" s="14" t="s">
        <v>1716</v>
      </c>
      <c r="H187" s="14" t="s">
        <v>624</v>
      </c>
      <c r="I187" s="14">
        <v>0</v>
      </c>
      <c r="J187" s="14">
        <v>0</v>
      </c>
      <c r="K187" s="14">
        <v>0</v>
      </c>
    </row>
    <row r="188" spans="1:11" x14ac:dyDescent="0.25">
      <c r="A188" s="16" t="e">
        <f>VLOOKUP(E188,Table1[[#All],[Campo]],1,0)</f>
        <v>#N/A</v>
      </c>
      <c r="B188" s="14" t="s">
        <v>1838</v>
      </c>
      <c r="C188" s="14" t="s">
        <v>1839</v>
      </c>
      <c r="D188" s="14" t="s">
        <v>1714</v>
      </c>
      <c r="E188" s="14" t="s">
        <v>1544</v>
      </c>
      <c r="F188" s="14" t="s">
        <v>1715</v>
      </c>
      <c r="G188" s="14" t="s">
        <v>1716</v>
      </c>
      <c r="H188" s="14" t="s">
        <v>624</v>
      </c>
      <c r="I188" s="14">
        <v>0</v>
      </c>
      <c r="J188" s="14">
        <v>0</v>
      </c>
      <c r="K188" s="14">
        <v>0</v>
      </c>
    </row>
    <row r="189" spans="1:11" x14ac:dyDescent="0.25">
      <c r="A189" s="16" t="e">
        <f>VLOOKUP(E189,Table1[[#All],[Campo]],1,0)</f>
        <v>#N/A</v>
      </c>
      <c r="B189" s="14" t="s">
        <v>1840</v>
      </c>
      <c r="C189" s="14" t="s">
        <v>1841</v>
      </c>
      <c r="D189" s="14" t="s">
        <v>1714</v>
      </c>
      <c r="E189" s="14" t="s">
        <v>1544</v>
      </c>
      <c r="F189" s="14" t="s">
        <v>1715</v>
      </c>
      <c r="G189" s="14" t="s">
        <v>1716</v>
      </c>
      <c r="H189" s="14" t="s">
        <v>624</v>
      </c>
      <c r="I189" s="14">
        <v>277518</v>
      </c>
      <c r="J189" s="14">
        <v>0</v>
      </c>
      <c r="K189" s="14">
        <v>0</v>
      </c>
    </row>
    <row r="190" spans="1:11" x14ac:dyDescent="0.25">
      <c r="A190" s="16" t="e">
        <f>VLOOKUP(E190,Table1[[#All],[Campo]],1,0)</f>
        <v>#N/A</v>
      </c>
      <c r="B190" s="14" t="s">
        <v>1842</v>
      </c>
      <c r="C190" s="14" t="s">
        <v>1843</v>
      </c>
      <c r="D190" s="14" t="s">
        <v>1714</v>
      </c>
      <c r="E190" s="14" t="s">
        <v>1544</v>
      </c>
      <c r="F190" s="14" t="s">
        <v>1715</v>
      </c>
      <c r="G190" s="14" t="s">
        <v>1716</v>
      </c>
      <c r="H190" s="14" t="s">
        <v>624</v>
      </c>
      <c r="I190" s="14">
        <v>1724892</v>
      </c>
      <c r="J190" s="14">
        <v>0</v>
      </c>
      <c r="K190" s="14">
        <v>0</v>
      </c>
    </row>
    <row r="191" spans="1:11" x14ac:dyDescent="0.25">
      <c r="A191" s="16" t="s">
        <v>1545</v>
      </c>
      <c r="B191" s="14" t="s">
        <v>1844</v>
      </c>
      <c r="C191" s="14" t="s">
        <v>1845</v>
      </c>
      <c r="D191" s="14" t="s">
        <v>1714</v>
      </c>
      <c r="E191" s="14" t="s">
        <v>1548</v>
      </c>
      <c r="F191" s="14" t="s">
        <v>1715</v>
      </c>
      <c r="G191" s="14" t="s">
        <v>1716</v>
      </c>
      <c r="H191" s="14" t="s">
        <v>624</v>
      </c>
      <c r="I191" s="14">
        <v>0</v>
      </c>
      <c r="J191" s="14">
        <v>0</v>
      </c>
      <c r="K191" s="14">
        <v>0</v>
      </c>
    </row>
    <row r="192" spans="1:11" x14ac:dyDescent="0.25">
      <c r="A192" s="16" t="s">
        <v>1545</v>
      </c>
      <c r="B192" s="14" t="s">
        <v>1846</v>
      </c>
      <c r="C192" s="14" t="s">
        <v>1847</v>
      </c>
      <c r="D192" s="14" t="s">
        <v>1714</v>
      </c>
      <c r="E192" s="14" t="s">
        <v>1548</v>
      </c>
      <c r="F192" s="14" t="s">
        <v>1715</v>
      </c>
      <c r="G192" s="14" t="s">
        <v>1716</v>
      </c>
      <c r="H192" s="14" t="s">
        <v>624</v>
      </c>
      <c r="I192" s="14">
        <v>0</v>
      </c>
      <c r="J192" s="14">
        <v>0</v>
      </c>
      <c r="K192" s="14">
        <v>0</v>
      </c>
    </row>
    <row r="193" spans="1:11" x14ac:dyDescent="0.25">
      <c r="A193" s="16" t="e">
        <f>VLOOKUP(E193,Table1[[#All],[Campo]],1,0)</f>
        <v>#N/A</v>
      </c>
      <c r="B193" s="14" t="s">
        <v>1848</v>
      </c>
      <c r="C193" s="14" t="s">
        <v>1849</v>
      </c>
      <c r="D193" s="14" t="s">
        <v>1714</v>
      </c>
      <c r="E193" s="14" t="s">
        <v>1551</v>
      </c>
      <c r="F193" s="14" t="s">
        <v>1715</v>
      </c>
      <c r="G193" s="14" t="s">
        <v>1716</v>
      </c>
      <c r="H193" s="14" t="s">
        <v>624</v>
      </c>
      <c r="I193" s="14">
        <v>0</v>
      </c>
      <c r="J193" s="14">
        <v>0</v>
      </c>
      <c r="K193" s="14">
        <v>0</v>
      </c>
    </row>
    <row r="194" spans="1:11" x14ac:dyDescent="0.25">
      <c r="A194" s="16" t="e">
        <f>VLOOKUP(E194,Table1[[#All],[Campo]],1,0)</f>
        <v>#N/A</v>
      </c>
      <c r="B194" s="14" t="s">
        <v>1850</v>
      </c>
      <c r="C194" s="14" t="s">
        <v>1851</v>
      </c>
      <c r="D194" s="14" t="s">
        <v>1714</v>
      </c>
      <c r="E194" s="14" t="s">
        <v>1551</v>
      </c>
      <c r="F194" s="14" t="s">
        <v>1715</v>
      </c>
      <c r="G194" s="14" t="s">
        <v>1716</v>
      </c>
      <c r="H194" s="14" t="s">
        <v>624</v>
      </c>
      <c r="I194" s="14">
        <v>0</v>
      </c>
      <c r="J194" s="14">
        <v>0</v>
      </c>
      <c r="K194" s="14">
        <v>0</v>
      </c>
    </row>
    <row r="195" spans="1:11" x14ac:dyDescent="0.25">
      <c r="A195" s="16" t="e">
        <f>VLOOKUP(E195,Table1[[#All],[Campo]],1,0)</f>
        <v>#N/A</v>
      </c>
      <c r="B195" s="14" t="s">
        <v>1852</v>
      </c>
      <c r="C195" s="14" t="s">
        <v>1853</v>
      </c>
      <c r="D195" s="14" t="s">
        <v>1714</v>
      </c>
      <c r="E195" s="14" t="s">
        <v>1556</v>
      </c>
      <c r="F195" s="14" t="s">
        <v>1715</v>
      </c>
      <c r="G195" s="14" t="s">
        <v>1716</v>
      </c>
      <c r="H195" s="14" t="s">
        <v>624</v>
      </c>
      <c r="I195" s="14">
        <v>0</v>
      </c>
      <c r="J195" s="14">
        <v>0</v>
      </c>
      <c r="K195" s="14">
        <v>0</v>
      </c>
    </row>
    <row r="196" spans="1:11" x14ac:dyDescent="0.25">
      <c r="A196" s="16" t="e">
        <f>VLOOKUP(E196,Table1[[#All],[Campo]],1,0)</f>
        <v>#N/A</v>
      </c>
      <c r="B196" s="14" t="s">
        <v>1854</v>
      </c>
      <c r="C196" s="14" t="s">
        <v>1855</v>
      </c>
      <c r="D196" s="14" t="s">
        <v>1714</v>
      </c>
      <c r="E196" s="14" t="s">
        <v>1556</v>
      </c>
      <c r="F196" s="14" t="s">
        <v>1715</v>
      </c>
      <c r="G196" s="14" t="s">
        <v>1716</v>
      </c>
      <c r="H196" s="14" t="s">
        <v>624</v>
      </c>
      <c r="I196" s="14">
        <v>0</v>
      </c>
      <c r="J196" s="14">
        <v>0</v>
      </c>
      <c r="K196" s="14">
        <v>0</v>
      </c>
    </row>
    <row r="197" spans="1:11" x14ac:dyDescent="0.25">
      <c r="A197" s="16" t="e">
        <f>VLOOKUP(E197,Table1[[#All],[Campo]],1,0)</f>
        <v>#N/A</v>
      </c>
      <c r="B197" s="14" t="s">
        <v>1856</v>
      </c>
      <c r="C197" s="14" t="s">
        <v>1857</v>
      </c>
      <c r="D197" s="14" t="s">
        <v>1714</v>
      </c>
      <c r="E197" s="14" t="s">
        <v>1559</v>
      </c>
      <c r="F197" s="14" t="s">
        <v>1715</v>
      </c>
      <c r="G197" s="14" t="s">
        <v>1716</v>
      </c>
      <c r="H197" s="14" t="s">
        <v>624</v>
      </c>
      <c r="I197" s="14">
        <v>0</v>
      </c>
      <c r="J197" s="14">
        <v>0</v>
      </c>
      <c r="K197" s="14">
        <v>0</v>
      </c>
    </row>
    <row r="198" spans="1:11" x14ac:dyDescent="0.25">
      <c r="A198" s="16" t="e">
        <f>VLOOKUP(E198,Table1[[#All],[Campo]],1,0)</f>
        <v>#N/A</v>
      </c>
      <c r="B198" s="14" t="s">
        <v>1858</v>
      </c>
      <c r="C198" s="14" t="s">
        <v>1859</v>
      </c>
      <c r="D198" s="14" t="s">
        <v>1714</v>
      </c>
      <c r="E198" s="14" t="s">
        <v>1559</v>
      </c>
      <c r="F198" s="14" t="s">
        <v>1715</v>
      </c>
      <c r="G198" s="14" t="s">
        <v>1716</v>
      </c>
      <c r="H198" s="14" t="s">
        <v>624</v>
      </c>
      <c r="I198" s="14">
        <v>0</v>
      </c>
      <c r="J198" s="14">
        <v>0</v>
      </c>
      <c r="K198" s="14">
        <v>0</v>
      </c>
    </row>
    <row r="199" spans="1:11" x14ac:dyDescent="0.25">
      <c r="A199" s="16" t="e">
        <f>VLOOKUP(E199,Table1[[#All],[Campo]],1,0)</f>
        <v>#N/A</v>
      </c>
      <c r="B199" s="14" t="s">
        <v>1860</v>
      </c>
      <c r="C199" s="14" t="s">
        <v>1861</v>
      </c>
      <c r="D199" s="14" t="s">
        <v>1714</v>
      </c>
      <c r="E199" s="14" t="s">
        <v>1562</v>
      </c>
      <c r="F199" s="14" t="s">
        <v>1715</v>
      </c>
      <c r="G199" s="14" t="s">
        <v>1716</v>
      </c>
      <c r="H199" s="14" t="s">
        <v>624</v>
      </c>
      <c r="I199" s="14">
        <v>0</v>
      </c>
      <c r="J199" s="14">
        <v>0</v>
      </c>
      <c r="K199" s="14">
        <v>0</v>
      </c>
    </row>
    <row r="200" spans="1:11" x14ac:dyDescent="0.25">
      <c r="A200" s="16" t="e">
        <f>VLOOKUP(E200,Table1[[#All],[Campo]],1,0)</f>
        <v>#N/A</v>
      </c>
      <c r="B200" s="14" t="s">
        <v>1862</v>
      </c>
      <c r="C200" s="14" t="s">
        <v>1863</v>
      </c>
      <c r="D200" s="14" t="s">
        <v>1714</v>
      </c>
      <c r="E200" s="14" t="s">
        <v>1562</v>
      </c>
      <c r="F200" s="14" t="s">
        <v>1715</v>
      </c>
      <c r="G200" s="14" t="s">
        <v>1716</v>
      </c>
      <c r="H200" s="14" t="s">
        <v>624</v>
      </c>
      <c r="I200" s="14">
        <v>0</v>
      </c>
      <c r="J200" s="14">
        <v>0</v>
      </c>
      <c r="K200" s="14">
        <v>0</v>
      </c>
    </row>
    <row r="201" spans="1:11" x14ac:dyDescent="0.25">
      <c r="A201" s="16" t="e">
        <f>VLOOKUP(E201,Table1[[#All],[Campo]],1,0)</f>
        <v>#N/A</v>
      </c>
      <c r="B201" s="14" t="s">
        <v>1864</v>
      </c>
      <c r="C201" s="14" t="s">
        <v>1865</v>
      </c>
      <c r="D201" s="14" t="s">
        <v>1714</v>
      </c>
      <c r="E201" s="14" t="s">
        <v>1562</v>
      </c>
      <c r="F201" s="14" t="s">
        <v>1715</v>
      </c>
      <c r="G201" s="14" t="s">
        <v>1716</v>
      </c>
      <c r="H201" s="14" t="s">
        <v>624</v>
      </c>
      <c r="I201" s="14">
        <v>0</v>
      </c>
      <c r="J201" s="14">
        <v>0</v>
      </c>
      <c r="K201" s="14">
        <v>0</v>
      </c>
    </row>
    <row r="202" spans="1:11" x14ac:dyDescent="0.25">
      <c r="A202" s="16" t="e">
        <f>VLOOKUP(E202,Table1[[#All],[Campo]],1,0)</f>
        <v>#N/A</v>
      </c>
      <c r="B202" s="14" t="s">
        <v>1866</v>
      </c>
      <c r="C202" s="14" t="s">
        <v>1867</v>
      </c>
      <c r="D202" s="14" t="s">
        <v>1714</v>
      </c>
      <c r="E202" s="14" t="s">
        <v>1565</v>
      </c>
      <c r="F202" s="14" t="s">
        <v>1715</v>
      </c>
      <c r="G202" s="14" t="s">
        <v>1716</v>
      </c>
      <c r="H202" s="14" t="s">
        <v>624</v>
      </c>
      <c r="I202" s="14">
        <v>0</v>
      </c>
      <c r="J202" s="14">
        <v>0</v>
      </c>
      <c r="K202" s="14">
        <v>0</v>
      </c>
    </row>
    <row r="203" spans="1:11" x14ac:dyDescent="0.25">
      <c r="A203" s="16" t="e">
        <f>VLOOKUP(E203,Table1[[#All],[Campo]],1,0)</f>
        <v>#N/A</v>
      </c>
      <c r="B203" s="14" t="s">
        <v>1868</v>
      </c>
      <c r="C203" s="14" t="s">
        <v>1869</v>
      </c>
      <c r="D203" s="14" t="s">
        <v>1714</v>
      </c>
      <c r="E203" s="14" t="s">
        <v>1568</v>
      </c>
      <c r="F203" s="14" t="s">
        <v>1715</v>
      </c>
      <c r="G203" s="14" t="s">
        <v>1716</v>
      </c>
      <c r="H203" s="14" t="s">
        <v>624</v>
      </c>
      <c r="I203" s="14">
        <v>0</v>
      </c>
      <c r="J203" s="14">
        <v>0</v>
      </c>
      <c r="K203" s="14">
        <v>0</v>
      </c>
    </row>
    <row r="204" spans="1:11" x14ac:dyDescent="0.25">
      <c r="A204" s="16" t="s">
        <v>1569</v>
      </c>
      <c r="B204" s="14" t="s">
        <v>1870</v>
      </c>
      <c r="C204" s="14" t="s">
        <v>1871</v>
      </c>
      <c r="D204" s="14" t="s">
        <v>1714</v>
      </c>
      <c r="E204" s="14" t="s">
        <v>1572</v>
      </c>
      <c r="F204" s="14" t="s">
        <v>1715</v>
      </c>
      <c r="G204" s="14" t="s">
        <v>1716</v>
      </c>
      <c r="H204" s="14" t="s">
        <v>624</v>
      </c>
      <c r="I204" s="14">
        <v>0</v>
      </c>
      <c r="J204" s="14">
        <v>0</v>
      </c>
      <c r="K204" s="14">
        <v>0</v>
      </c>
    </row>
    <row r="205" spans="1:11" x14ac:dyDescent="0.25">
      <c r="A205" s="16" t="s">
        <v>1569</v>
      </c>
      <c r="B205" s="14" t="s">
        <v>1872</v>
      </c>
      <c r="C205" s="14" t="s">
        <v>1873</v>
      </c>
      <c r="D205" s="14" t="s">
        <v>1714</v>
      </c>
      <c r="E205" s="14" t="s">
        <v>1572</v>
      </c>
      <c r="F205" s="14" t="s">
        <v>1715</v>
      </c>
      <c r="G205" s="14" t="s">
        <v>1716</v>
      </c>
      <c r="H205" s="14" t="s">
        <v>624</v>
      </c>
      <c r="I205" s="14">
        <v>0</v>
      </c>
      <c r="J205" s="14">
        <v>0</v>
      </c>
      <c r="K205" s="14">
        <v>0</v>
      </c>
    </row>
    <row r="206" spans="1:11" x14ac:dyDescent="0.25">
      <c r="A206" s="16" t="s">
        <v>1569</v>
      </c>
      <c r="B206" s="14" t="s">
        <v>1874</v>
      </c>
      <c r="C206" s="14" t="s">
        <v>1875</v>
      </c>
      <c r="D206" s="14" t="s">
        <v>1714</v>
      </c>
      <c r="E206" s="14" t="s">
        <v>1572</v>
      </c>
      <c r="F206" s="14" t="s">
        <v>1715</v>
      </c>
      <c r="G206" s="14" t="s">
        <v>1716</v>
      </c>
      <c r="H206" s="14" t="s">
        <v>624</v>
      </c>
      <c r="I206" s="14">
        <v>0</v>
      </c>
      <c r="J206" s="14">
        <v>0</v>
      </c>
      <c r="K206" s="14">
        <v>0</v>
      </c>
    </row>
    <row r="207" spans="1:11" x14ac:dyDescent="0.25">
      <c r="A207" s="16" t="s">
        <v>1573</v>
      </c>
      <c r="B207" s="14" t="s">
        <v>1876</v>
      </c>
      <c r="C207" s="14" t="s">
        <v>1877</v>
      </c>
      <c r="D207" s="14" t="s">
        <v>1714</v>
      </c>
      <c r="E207" s="14" t="s">
        <v>1576</v>
      </c>
      <c r="F207" s="14" t="s">
        <v>1715</v>
      </c>
      <c r="G207" s="14" t="s">
        <v>1716</v>
      </c>
      <c r="H207" s="14" t="s">
        <v>624</v>
      </c>
      <c r="I207" s="14">
        <v>0</v>
      </c>
      <c r="J207" s="14">
        <v>0</v>
      </c>
      <c r="K207" s="14">
        <v>0</v>
      </c>
    </row>
    <row r="208" spans="1:11" x14ac:dyDescent="0.25">
      <c r="A208" s="16" t="s">
        <v>1573</v>
      </c>
      <c r="B208" s="14" t="s">
        <v>1878</v>
      </c>
      <c r="C208" s="14" t="s">
        <v>1879</v>
      </c>
      <c r="D208" s="14" t="s">
        <v>1714</v>
      </c>
      <c r="E208" s="14" t="s">
        <v>1576</v>
      </c>
      <c r="F208" s="14" t="s">
        <v>1715</v>
      </c>
      <c r="G208" s="14" t="s">
        <v>1716</v>
      </c>
      <c r="H208" s="14" t="s">
        <v>624</v>
      </c>
      <c r="I208" s="14">
        <v>0</v>
      </c>
      <c r="J208" s="14">
        <v>0</v>
      </c>
      <c r="K208" s="14">
        <v>0</v>
      </c>
    </row>
    <row r="209" spans="1:11" x14ac:dyDescent="0.25">
      <c r="A209" s="16" t="s">
        <v>1573</v>
      </c>
      <c r="B209" s="14" t="s">
        <v>1880</v>
      </c>
      <c r="C209" s="14" t="s">
        <v>1881</v>
      </c>
      <c r="D209" s="14" t="s">
        <v>1714</v>
      </c>
      <c r="E209" s="14" t="s">
        <v>1576</v>
      </c>
      <c r="F209" s="14" t="s">
        <v>1715</v>
      </c>
      <c r="G209" s="14" t="s">
        <v>1716</v>
      </c>
      <c r="H209" s="14" t="s">
        <v>624</v>
      </c>
      <c r="I209" s="14">
        <v>0</v>
      </c>
      <c r="J209" s="14">
        <v>0</v>
      </c>
      <c r="K209" s="14">
        <v>0</v>
      </c>
    </row>
    <row r="210" spans="1:11" x14ac:dyDescent="0.25">
      <c r="A210" s="16" t="e">
        <f>VLOOKUP(E210,Table1[[#All],[Campo]],1,0)</f>
        <v>#N/A</v>
      </c>
      <c r="B210" s="14" t="s">
        <v>1882</v>
      </c>
      <c r="C210" s="14" t="s">
        <v>1883</v>
      </c>
      <c r="D210" s="14" t="s">
        <v>1714</v>
      </c>
      <c r="E210" s="14" t="s">
        <v>1582</v>
      </c>
      <c r="F210" s="14" t="s">
        <v>1715</v>
      </c>
      <c r="G210" s="14" t="s">
        <v>1716</v>
      </c>
      <c r="H210" s="14" t="s">
        <v>624</v>
      </c>
      <c r="I210" s="14">
        <v>0</v>
      </c>
      <c r="J210" s="14">
        <v>0</v>
      </c>
      <c r="K210" s="14">
        <v>0</v>
      </c>
    </row>
    <row r="211" spans="1:11" x14ac:dyDescent="0.25">
      <c r="A211" s="16" t="e">
        <f>VLOOKUP(E211,Table1[[#All],[Campo]],1,0)</f>
        <v>#N/A</v>
      </c>
      <c r="B211" s="14" t="s">
        <v>1884</v>
      </c>
      <c r="C211" s="14" t="s">
        <v>1885</v>
      </c>
      <c r="D211" s="14" t="s">
        <v>1714</v>
      </c>
      <c r="E211" s="14" t="s">
        <v>1582</v>
      </c>
      <c r="F211" s="14" t="s">
        <v>1715</v>
      </c>
      <c r="G211" s="14" t="s">
        <v>1716</v>
      </c>
      <c r="H211" s="14" t="s">
        <v>624</v>
      </c>
      <c r="I211" s="14">
        <v>0</v>
      </c>
      <c r="J211" s="14">
        <v>0</v>
      </c>
      <c r="K211" s="14">
        <v>0</v>
      </c>
    </row>
    <row r="212" spans="1:11" x14ac:dyDescent="0.25">
      <c r="A212" s="16" t="e">
        <f>VLOOKUP(E212,Table1[[#All],[Campo]],1,0)</f>
        <v>#N/A</v>
      </c>
      <c r="B212" s="14" t="s">
        <v>1886</v>
      </c>
      <c r="C212" s="14" t="s">
        <v>1887</v>
      </c>
      <c r="D212" s="14" t="s">
        <v>1714</v>
      </c>
      <c r="E212" s="14" t="s">
        <v>1585</v>
      </c>
      <c r="F212" s="14" t="s">
        <v>1715</v>
      </c>
      <c r="G212" s="14" t="s">
        <v>1716</v>
      </c>
      <c r="H212" s="14" t="s">
        <v>624</v>
      </c>
      <c r="I212" s="14">
        <v>0</v>
      </c>
      <c r="J212" s="14">
        <v>0</v>
      </c>
      <c r="K212" s="14">
        <v>0</v>
      </c>
    </row>
    <row r="213" spans="1:11" x14ac:dyDescent="0.25">
      <c r="A213" s="16" t="str">
        <f>VLOOKUP(E213,Table1[[#All],[Campo]],1,0)</f>
        <v>cod_soc</v>
      </c>
      <c r="B213" s="14" t="s">
        <v>1888</v>
      </c>
      <c r="C213" s="14" t="s">
        <v>1889</v>
      </c>
      <c r="D213" s="14" t="s">
        <v>1460</v>
      </c>
      <c r="E213" s="14" t="s">
        <v>1384</v>
      </c>
      <c r="F213" s="14" t="s">
        <v>1890</v>
      </c>
      <c r="G213" s="14" t="s">
        <v>1891</v>
      </c>
      <c r="H213" s="14" t="s">
        <v>624</v>
      </c>
      <c r="I213" s="14">
        <v>1096295</v>
      </c>
      <c r="J213" s="14">
        <v>0</v>
      </c>
      <c r="K213" s="14">
        <v>0</v>
      </c>
    </row>
    <row r="214" spans="1:11" x14ac:dyDescent="0.25">
      <c r="A214" s="16" t="str">
        <f>VLOOKUP(E214,Table1[[#All],[Campo]],1,0)</f>
        <v>dt_rfrnc</v>
      </c>
      <c r="B214" s="14" t="s">
        <v>1892</v>
      </c>
      <c r="C214" s="14" t="s">
        <v>1893</v>
      </c>
      <c r="D214" s="14" t="s">
        <v>1460</v>
      </c>
      <c r="E214" s="14" t="s">
        <v>1389</v>
      </c>
      <c r="F214" s="14" t="s">
        <v>1890</v>
      </c>
      <c r="G214" s="14" t="s">
        <v>1891</v>
      </c>
      <c r="H214" s="14" t="s">
        <v>624</v>
      </c>
      <c r="I214" s="14">
        <v>1096295</v>
      </c>
      <c r="J214" s="14">
        <v>0</v>
      </c>
      <c r="K214" s="14">
        <v>0</v>
      </c>
    </row>
    <row r="215" spans="1:11" x14ac:dyDescent="0.25">
      <c r="A215" s="16" t="str">
        <f>VLOOKUP(E215,Table1[[#All],[Campo]],1,0)</f>
        <v>cod_soc</v>
      </c>
      <c r="B215" s="14" t="s">
        <v>1894</v>
      </c>
      <c r="C215" s="14" t="s">
        <v>1895</v>
      </c>
      <c r="D215" s="14" t="s">
        <v>1467</v>
      </c>
      <c r="E215" s="14" t="s">
        <v>1384</v>
      </c>
      <c r="F215" s="14" t="s">
        <v>1890</v>
      </c>
      <c r="G215" s="14" t="s">
        <v>1896</v>
      </c>
      <c r="H215" s="14" t="s">
        <v>624</v>
      </c>
      <c r="I215" s="14">
        <v>2490665</v>
      </c>
      <c r="J215" s="14">
        <v>0</v>
      </c>
      <c r="K215" s="14">
        <v>0</v>
      </c>
    </row>
    <row r="216" spans="1:11" x14ac:dyDescent="0.25">
      <c r="A216" s="16" t="str">
        <f>VLOOKUP(E216,Table1[[#All],[Campo]],1,0)</f>
        <v>dt_rfrnc</v>
      </c>
      <c r="B216" s="14" t="s">
        <v>1897</v>
      </c>
      <c r="C216" s="14" t="s">
        <v>1898</v>
      </c>
      <c r="D216" s="14" t="s">
        <v>1467</v>
      </c>
      <c r="E216" s="14" t="s">
        <v>1389</v>
      </c>
      <c r="F216" s="14" t="s">
        <v>1890</v>
      </c>
      <c r="G216" s="14" t="s">
        <v>1896</v>
      </c>
      <c r="H216" s="14" t="s">
        <v>624</v>
      </c>
      <c r="I216" s="14">
        <v>2490665</v>
      </c>
      <c r="J216" s="14">
        <v>0</v>
      </c>
      <c r="K216" s="14">
        <v>0</v>
      </c>
    </row>
    <row r="217" spans="1:11" x14ac:dyDescent="0.25">
      <c r="A217" s="16" t="str">
        <f>VLOOKUP(E217,Table1[[#All],[Campo]],1,0)</f>
        <v>cod_soc</v>
      </c>
      <c r="B217" s="14" t="s">
        <v>1899</v>
      </c>
      <c r="C217" s="14" t="s">
        <v>1900</v>
      </c>
      <c r="D217" s="14" t="s">
        <v>1406</v>
      </c>
      <c r="E217" s="14" t="s">
        <v>1384</v>
      </c>
      <c r="F217" s="14" t="s">
        <v>1890</v>
      </c>
      <c r="G217" s="14" t="s">
        <v>1901</v>
      </c>
      <c r="H217" s="14" t="s">
        <v>624</v>
      </c>
      <c r="I217" s="14">
        <v>2003033</v>
      </c>
      <c r="J217" s="14">
        <v>0</v>
      </c>
      <c r="K217" s="14">
        <v>0</v>
      </c>
    </row>
    <row r="218" spans="1:11" x14ac:dyDescent="0.25">
      <c r="A218" s="16" t="str">
        <f>VLOOKUP(E218,Table1[[#All],[Campo]],1,0)</f>
        <v>dt_rfrnc</v>
      </c>
      <c r="B218" s="14" t="s">
        <v>1902</v>
      </c>
      <c r="C218" s="14" t="s">
        <v>1903</v>
      </c>
      <c r="D218" s="14" t="s">
        <v>1406</v>
      </c>
      <c r="E218" s="14" t="s">
        <v>1389</v>
      </c>
      <c r="F218" s="14" t="s">
        <v>1890</v>
      </c>
      <c r="G218" s="14" t="s">
        <v>1901</v>
      </c>
      <c r="H218" s="14" t="s">
        <v>624</v>
      </c>
      <c r="I218" s="14">
        <v>2003033</v>
      </c>
      <c r="J218" s="14">
        <v>0</v>
      </c>
      <c r="K218" s="14">
        <v>0</v>
      </c>
    </row>
    <row r="219" spans="1:11" x14ac:dyDescent="0.25">
      <c r="A219" s="16" t="str">
        <f>VLOOKUP(E219,Table1[[#All],[Campo]],1,0)</f>
        <v>cod_soc</v>
      </c>
      <c r="B219" s="14" t="s">
        <v>1904</v>
      </c>
      <c r="C219" s="14" t="s">
        <v>1905</v>
      </c>
      <c r="D219" s="14" t="s">
        <v>1457</v>
      </c>
      <c r="E219" s="14" t="s">
        <v>1384</v>
      </c>
      <c r="F219" s="14" t="s">
        <v>1890</v>
      </c>
      <c r="G219" s="14" t="s">
        <v>1906</v>
      </c>
      <c r="H219" s="14" t="s">
        <v>624</v>
      </c>
      <c r="I219" s="14">
        <v>731165</v>
      </c>
      <c r="J219" s="14">
        <v>0</v>
      </c>
      <c r="K219" s="14">
        <v>0</v>
      </c>
    </row>
    <row r="220" spans="1:11" x14ac:dyDescent="0.25">
      <c r="A220" s="16" t="str">
        <f>VLOOKUP(E220,Table1[[#All],[Campo]],1,0)</f>
        <v>dt_rfrnc</v>
      </c>
      <c r="B220" s="14" t="s">
        <v>1907</v>
      </c>
      <c r="C220" s="14" t="s">
        <v>1908</v>
      </c>
      <c r="D220" s="14" t="s">
        <v>1457</v>
      </c>
      <c r="E220" s="14" t="s">
        <v>1389</v>
      </c>
      <c r="F220" s="14" t="s">
        <v>1890</v>
      </c>
      <c r="G220" s="14" t="s">
        <v>1906</v>
      </c>
      <c r="H220" s="14" t="s">
        <v>624</v>
      </c>
      <c r="I220" s="14">
        <v>731165</v>
      </c>
      <c r="J220" s="14">
        <v>0</v>
      </c>
      <c r="K220" s="14">
        <v>0</v>
      </c>
    </row>
    <row r="221" spans="1:11" x14ac:dyDescent="0.25">
      <c r="A221" s="16" t="str">
        <f>VLOOKUP(E221,Table1[[#All],[Campo]],1,0)</f>
        <v>cod_soc</v>
      </c>
      <c r="B221" s="14" t="s">
        <v>1909</v>
      </c>
      <c r="C221" s="14" t="s">
        <v>1910</v>
      </c>
      <c r="D221" s="14" t="s">
        <v>1622</v>
      </c>
      <c r="E221" s="14" t="s">
        <v>1384</v>
      </c>
      <c r="F221" s="14" t="s">
        <v>1890</v>
      </c>
      <c r="G221" s="14" t="s">
        <v>1911</v>
      </c>
      <c r="H221" s="14" t="s">
        <v>624</v>
      </c>
      <c r="I221" s="14">
        <v>456960</v>
      </c>
      <c r="J221" s="14">
        <v>0</v>
      </c>
      <c r="K221" s="14">
        <v>0</v>
      </c>
    </row>
    <row r="222" spans="1:11" x14ac:dyDescent="0.25">
      <c r="A222" s="16" t="str">
        <f>VLOOKUP(E222,Table1[[#All],[Campo]],1,0)</f>
        <v>dt_rfrnc</v>
      </c>
      <c r="B222" s="14" t="s">
        <v>1912</v>
      </c>
      <c r="C222" s="14" t="s">
        <v>1913</v>
      </c>
      <c r="D222" s="14" t="s">
        <v>1622</v>
      </c>
      <c r="E222" s="14" t="s">
        <v>1389</v>
      </c>
      <c r="F222" s="14" t="s">
        <v>1890</v>
      </c>
      <c r="G222" s="14" t="s">
        <v>1911</v>
      </c>
      <c r="H222" s="14" t="s">
        <v>624</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E22" sqref="E22"/>
    </sheetView>
  </sheetViews>
  <sheetFormatPr defaultRowHeight="13.8" x14ac:dyDescent="0.25"/>
  <cols>
    <col min="1" max="1" width="44.09765625" bestFit="1" customWidth="1"/>
    <col min="2" max="2" width="58.09765625" customWidth="1"/>
    <col min="3" max="3" width="100.69921875" customWidth="1"/>
  </cols>
  <sheetData>
    <row r="2" spans="2:10" x14ac:dyDescent="0.25">
      <c r="D2" t="s">
        <v>1914</v>
      </c>
    </row>
    <row r="3" spans="2:10" ht="17.399999999999999" x14ac:dyDescent="0.45">
      <c r="B3" s="17" t="s">
        <v>1915</v>
      </c>
      <c r="D3" t="s">
        <v>1238</v>
      </c>
    </row>
    <row r="4" spans="2:10" ht="17.399999999999999" x14ac:dyDescent="0.45">
      <c r="B4" s="53" t="s">
        <v>1916</v>
      </c>
      <c r="C4" s="53" t="s">
        <v>1917</v>
      </c>
      <c r="D4" s="52" t="s">
        <v>1259</v>
      </c>
      <c r="E4" s="52" t="s">
        <v>1260</v>
      </c>
      <c r="F4" s="52" t="s">
        <v>1251</v>
      </c>
      <c r="H4" s="31" t="s">
        <v>1259</v>
      </c>
      <c r="I4" s="31" t="s">
        <v>1260</v>
      </c>
      <c r="J4" s="31" t="s">
        <v>1251</v>
      </c>
    </row>
    <row r="5" spans="2:10" ht="34.799999999999997" x14ac:dyDescent="0.45">
      <c r="B5" s="2" t="s">
        <v>1249</v>
      </c>
      <c r="C5" s="4" t="s">
        <v>1918</v>
      </c>
      <c r="D5">
        <v>8</v>
      </c>
      <c r="E5">
        <v>8</v>
      </c>
      <c r="F5">
        <v>8</v>
      </c>
      <c r="H5" s="31">
        <v>1</v>
      </c>
      <c r="I5" s="31">
        <v>3</v>
      </c>
      <c r="J5" s="31">
        <v>8</v>
      </c>
    </row>
    <row r="6" spans="2:10" ht="34.799999999999997" x14ac:dyDescent="0.45">
      <c r="B6" s="2" t="s">
        <v>1252</v>
      </c>
      <c r="C6" s="4" t="s">
        <v>1919</v>
      </c>
      <c r="D6">
        <v>2</v>
      </c>
      <c r="E6">
        <v>4</v>
      </c>
      <c r="F6">
        <v>8</v>
      </c>
      <c r="H6" s="31">
        <v>1</v>
      </c>
      <c r="I6" s="31">
        <v>3</v>
      </c>
      <c r="J6" s="31">
        <v>4</v>
      </c>
    </row>
    <row r="7" spans="2:10" ht="17.399999999999999" x14ac:dyDescent="0.45">
      <c r="B7" s="2" t="s">
        <v>1253</v>
      </c>
      <c r="C7" s="4" t="s">
        <v>1920</v>
      </c>
      <c r="D7">
        <v>2</v>
      </c>
      <c r="E7">
        <v>4</v>
      </c>
      <c r="F7">
        <v>8</v>
      </c>
      <c r="H7" s="31">
        <v>1</v>
      </c>
      <c r="I7" s="31">
        <v>1</v>
      </c>
      <c r="J7" s="31">
        <v>2</v>
      </c>
    </row>
    <row r="8" spans="2:10" ht="17.399999999999999" x14ac:dyDescent="0.45">
      <c r="B8" s="28" t="s">
        <v>1254</v>
      </c>
      <c r="C8" s="4" t="s">
        <v>1921</v>
      </c>
      <c r="D8">
        <v>2</v>
      </c>
      <c r="E8">
        <v>4</v>
      </c>
      <c r="F8">
        <v>8</v>
      </c>
      <c r="H8" s="31">
        <v>2</v>
      </c>
      <c r="I8" s="31">
        <v>4</v>
      </c>
      <c r="J8" s="31">
        <v>4</v>
      </c>
    </row>
    <row r="9" spans="2:10" ht="17.399999999999999" x14ac:dyDescent="0.45">
      <c r="B9" s="29" t="s">
        <v>1257</v>
      </c>
      <c r="C9" s="4" t="s">
        <v>1922</v>
      </c>
      <c r="D9">
        <v>1</v>
      </c>
      <c r="E9">
        <v>1</v>
      </c>
      <c r="F9">
        <v>1</v>
      </c>
      <c r="H9" s="31"/>
      <c r="I9" s="31"/>
      <c r="J9" s="31"/>
    </row>
    <row r="10" spans="2:10" ht="52.2" x14ac:dyDescent="0.45">
      <c r="B10" s="2" t="s">
        <v>1255</v>
      </c>
      <c r="C10" s="4" t="s">
        <v>1923</v>
      </c>
      <c r="D10">
        <v>0.1</v>
      </c>
      <c r="E10">
        <v>0.1</v>
      </c>
      <c r="F10">
        <v>0.1</v>
      </c>
      <c r="H10" s="31">
        <v>0.1</v>
      </c>
      <c r="I10" s="31">
        <v>0.5</v>
      </c>
      <c r="J10" s="31">
        <v>0.5</v>
      </c>
    </row>
    <row r="11" spans="2:10" ht="17.399999999999999" x14ac:dyDescent="0.45">
      <c r="B11" s="29" t="s">
        <v>1256</v>
      </c>
      <c r="C11" s="4" t="s">
        <v>1924</v>
      </c>
      <c r="D11">
        <v>1</v>
      </c>
      <c r="E11">
        <v>2</v>
      </c>
      <c r="F11">
        <v>2</v>
      </c>
      <c r="H11" s="31"/>
      <c r="I11" s="31"/>
      <c r="J11" s="31"/>
    </row>
    <row r="12" spans="2:10" ht="17.399999999999999" x14ac:dyDescent="0.45">
      <c r="B12" s="29" t="s">
        <v>1299</v>
      </c>
      <c r="C12" s="4" t="s">
        <v>1925</v>
      </c>
      <c r="D12">
        <v>0.5</v>
      </c>
      <c r="E12">
        <v>0.5</v>
      </c>
      <c r="F12">
        <v>0.5</v>
      </c>
      <c r="H12" s="31">
        <v>0.5</v>
      </c>
      <c r="I12" s="31">
        <v>0.5</v>
      </c>
      <c r="J12" s="31">
        <v>0.5</v>
      </c>
    </row>
    <row r="13" spans="2:10" ht="34.799999999999997" x14ac:dyDescent="0.45">
      <c r="B13" s="34" t="s">
        <v>1263</v>
      </c>
      <c r="C13" s="4" t="s">
        <v>1926</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614</v>
      </c>
      <c r="C16">
        <f>_xlfn.NUMBERVALUE(LEFT(B16,1))</f>
        <v>1</v>
      </c>
      <c r="D16" s="96">
        <v>1</v>
      </c>
      <c r="E16" s="96">
        <v>1</v>
      </c>
    </row>
    <row r="17" spans="1:5" ht="17.399999999999999" x14ac:dyDescent="0.25">
      <c r="A17" t="s">
        <v>1927</v>
      </c>
      <c r="B17" s="18" t="s">
        <v>615</v>
      </c>
      <c r="C17">
        <v>4</v>
      </c>
      <c r="D17" s="96">
        <v>0.25</v>
      </c>
      <c r="E17" s="96">
        <v>0</v>
      </c>
    </row>
    <row r="18" spans="1:5" ht="17.399999999999999" x14ac:dyDescent="0.25">
      <c r="B18" s="24" t="s">
        <v>28</v>
      </c>
      <c r="C18">
        <v>8</v>
      </c>
      <c r="D18" s="96">
        <v>0</v>
      </c>
      <c r="E18" s="96">
        <v>0</v>
      </c>
    </row>
    <row r="19" spans="1:5" ht="17.399999999999999" x14ac:dyDescent="0.45">
      <c r="B19" s="1" t="s">
        <v>1931</v>
      </c>
      <c r="C19">
        <f t="shared" ref="C19:C24" si="0">_xlfn.NUMBERVALUE(LEFT(B19,1))</f>
        <v>2</v>
      </c>
      <c r="D19" s="96">
        <v>0.5</v>
      </c>
      <c r="E19" s="96">
        <v>0.25</v>
      </c>
    </row>
    <row r="20" spans="1:5" ht="17.399999999999999" x14ac:dyDescent="0.45">
      <c r="B20" s="1" t="s">
        <v>1932</v>
      </c>
      <c r="C20">
        <v>3</v>
      </c>
      <c r="D20" s="96">
        <v>0.5</v>
      </c>
      <c r="E20" s="96">
        <v>0</v>
      </c>
    </row>
    <row r="21" spans="1:5" ht="17.399999999999999" x14ac:dyDescent="0.45">
      <c r="A21" t="s">
        <v>1928</v>
      </c>
      <c r="B21" s="25" t="s">
        <v>616</v>
      </c>
      <c r="C21">
        <v>5</v>
      </c>
      <c r="D21" s="96">
        <v>0.25</v>
      </c>
      <c r="E21" s="96">
        <v>0.25</v>
      </c>
    </row>
    <row r="22" spans="1:5" ht="17.399999999999999" x14ac:dyDescent="0.45">
      <c r="A22" t="s">
        <v>1929</v>
      </c>
      <c r="B22" s="19" t="s">
        <v>617</v>
      </c>
      <c r="C22">
        <v>6</v>
      </c>
      <c r="D22" s="96">
        <v>0.25</v>
      </c>
      <c r="E22" s="96">
        <v>0</v>
      </c>
    </row>
    <row r="23" spans="1:5" ht="17.399999999999999" x14ac:dyDescent="0.45">
      <c r="A23" t="s">
        <v>1929</v>
      </c>
      <c r="B23" s="19" t="s">
        <v>619</v>
      </c>
      <c r="C23">
        <v>7</v>
      </c>
      <c r="D23" s="96">
        <v>0.25</v>
      </c>
      <c r="E23" s="96">
        <v>0</v>
      </c>
    </row>
    <row r="24" spans="1:5" ht="17.399999999999999" x14ac:dyDescent="0.45">
      <c r="A24" t="s">
        <v>1930</v>
      </c>
      <c r="B24" s="1" t="s">
        <v>613</v>
      </c>
      <c r="C24">
        <f t="shared" si="0"/>
        <v>0</v>
      </c>
      <c r="D24" s="96">
        <v>0</v>
      </c>
      <c r="E24" s="96">
        <v>0</v>
      </c>
    </row>
  </sheetData>
  <conditionalFormatting sqref="B16:B24">
    <cfRule type="cellIs" dxfId="11"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x14ac:dyDescent="0.25"/>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x14ac:dyDescent="0.25"/>
    <row r="2" spans="1:5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2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x14ac:dyDescent="0.25"/>
    <row r="7" spans="1:55" x14ac:dyDescent="0.25"/>
    <row r="8" spans="1:55" x14ac:dyDescent="0.25">
      <c r="B8" s="225"/>
      <c r="C8" t="s">
        <v>1970</v>
      </c>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row>
    <row r="9" spans="1:55" ht="17.399999999999999" x14ac:dyDescent="0.45">
      <c r="B9" s="242"/>
      <c r="C9" t="s">
        <v>1971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x14ac:dyDescent="0.25">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x14ac:dyDescent="0.25">
      <c r="B11" s="243" t="s">
        <v>8</v>
      </c>
      <c r="C11" s="244" t="s">
        <v>11</v>
      </c>
      <c r="D11" s="244" t="s">
        <v>1972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x14ac:dyDescent="0.25">
      <c r="A12" s="30"/>
      <c r="B12" s="138" t="s">
        <v>1973</v>
      </c>
      <c r="C12" s="135" t="s">
        <v>37</v>
      </c>
      <c r="D12" s="245">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1"/>
      <c r="AF12" s="79"/>
      <c r="AG12" s="79"/>
      <c r="AH12" s="79"/>
      <c r="AI12" s="79"/>
      <c r="AJ12" s="79"/>
      <c r="AK12" s="246"/>
      <c r="AL12" s="79"/>
      <c r="AM12" s="79"/>
      <c r="AN12" s="79"/>
      <c r="AO12" s="79"/>
      <c r="AP12" s="79"/>
      <c r="AQ12" s="79"/>
      <c r="AR12" s="79"/>
      <c r="AS12" s="79"/>
      <c r="AT12" s="79"/>
      <c r="AU12" s="79"/>
      <c r="AV12" s="79"/>
      <c r="AW12" s="92"/>
      <c r="AX12" s="92"/>
      <c r="AY12" s="92"/>
      <c r="AZ12" s="92"/>
      <c r="BA12" s="92"/>
      <c r="BB12" s="92"/>
    </row>
    <row r="13" spans="1:55" ht="16.2" x14ac:dyDescent="0.25">
      <c r="A13" s="30"/>
      <c r="B13" s="138" t="s">
        <v>1974</v>
      </c>
      <c r="C13" s="135" t="s">
        <v>123</v>
      </c>
      <c r="D13" s="245">
        <v>22</v>
      </c>
      <c r="E13" s="79"/>
      <c r="F13" s="79"/>
      <c r="G13" s="79"/>
      <c r="H13" s="231"/>
      <c r="I13" s="79"/>
      <c r="J13" s="79"/>
      <c r="K13" s="79"/>
      <c r="L13" s="92"/>
      <c r="M13" s="79"/>
      <c r="N13" s="79"/>
      <c r="O13" s="79"/>
      <c r="P13" s="79"/>
      <c r="Q13" s="79"/>
      <c r="R13" s="79"/>
      <c r="S13" s="79"/>
      <c r="T13" s="79"/>
      <c r="U13" s="79"/>
      <c r="V13" s="246"/>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x14ac:dyDescent="0.25">
      <c r="A14" s="30"/>
      <c r="B14" s="138" t="s">
        <v>1975</v>
      </c>
      <c r="C14" s="135" t="s">
        <v>182</v>
      </c>
      <c r="D14" s="245">
        <v>16</v>
      </c>
      <c r="E14" s="79"/>
      <c r="F14" s="79"/>
      <c r="G14" s="79"/>
      <c r="H14" s="79"/>
      <c r="I14" s="79"/>
      <c r="J14" s="79"/>
      <c r="K14" s="79"/>
      <c r="L14" s="92"/>
      <c r="M14" s="79"/>
      <c r="N14" s="79"/>
      <c r="O14" s="79"/>
      <c r="P14" s="231"/>
      <c r="Q14" s="79"/>
      <c r="R14" s="79"/>
      <c r="S14" s="79"/>
      <c r="T14" s="79"/>
      <c r="U14" s="79"/>
      <c r="V14" s="246"/>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x14ac:dyDescent="0.25">
      <c r="A15" s="30"/>
      <c r="B15" s="247" t="s">
        <v>311</v>
      </c>
      <c r="C15" s="135" t="s">
        <v>312</v>
      </c>
      <c r="D15" s="245">
        <v>12</v>
      </c>
      <c r="E15" s="79"/>
      <c r="F15" s="79"/>
      <c r="G15" s="79"/>
      <c r="H15" s="79"/>
      <c r="I15" s="79"/>
      <c r="J15" s="79"/>
      <c r="K15" s="79"/>
      <c r="L15" s="92"/>
      <c r="M15" s="231"/>
      <c r="N15" s="79"/>
      <c r="O15" s="79"/>
      <c r="P15" s="79"/>
      <c r="Q15" s="79"/>
      <c r="R15" s="79"/>
      <c r="S15" s="79"/>
      <c r="T15" s="79"/>
      <c r="U15" s="79"/>
      <c r="V15" s="246"/>
      <c r="W15" s="79"/>
      <c r="X15" s="79"/>
      <c r="Y15" s="79"/>
      <c r="Z15" s="79"/>
      <c r="AA15" s="79"/>
      <c r="AB15" s="231"/>
      <c r="AC15" s="79"/>
      <c r="AD15" s="79"/>
      <c r="AE15" s="79"/>
      <c r="AF15" s="79"/>
      <c r="AG15" s="79"/>
      <c r="AH15" s="79"/>
      <c r="AI15" s="79"/>
      <c r="AJ15" s="79"/>
      <c r="AK15" s="246"/>
      <c r="AL15" s="79"/>
      <c r="AM15" s="79"/>
      <c r="AN15" s="79"/>
      <c r="AO15" s="79"/>
      <c r="AP15" s="79"/>
      <c r="AQ15" s="79"/>
      <c r="AR15" s="79"/>
      <c r="AS15" s="79"/>
      <c r="AT15" s="79"/>
      <c r="AU15" s="79"/>
      <c r="AV15" s="79"/>
      <c r="AW15" s="92"/>
      <c r="AX15" s="92"/>
      <c r="AY15" s="92"/>
      <c r="AZ15" s="92"/>
      <c r="BA15" s="92"/>
      <c r="BB15" s="92"/>
    </row>
    <row r="16" spans="1:55" ht="16.2" outlineLevel="1" x14ac:dyDescent="0.25">
      <c r="A16" s="30"/>
      <c r="B16" s="248" t="s">
        <v>311</v>
      </c>
      <c r="C16" s="249" t="s">
        <v>1976</v>
      </c>
      <c r="D16" s="245">
        <v>8</v>
      </c>
      <c r="E16" s="79"/>
      <c r="F16" s="79"/>
      <c r="G16" s="79"/>
      <c r="H16" s="79"/>
      <c r="I16" s="79"/>
      <c r="J16" s="79"/>
      <c r="K16" s="79"/>
      <c r="L16" s="92"/>
      <c r="M16" s="231"/>
      <c r="N16" s="79"/>
      <c r="O16" s="79"/>
      <c r="P16" s="79"/>
      <c r="Q16" s="79"/>
      <c r="R16" s="79"/>
      <c r="S16" s="79"/>
      <c r="T16" s="79"/>
      <c r="U16" s="79"/>
      <c r="V16" s="246"/>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x14ac:dyDescent="0.25">
      <c r="A17" s="30"/>
      <c r="B17" s="248" t="s">
        <v>311</v>
      </c>
      <c r="C17" s="249" t="s">
        <v>1977</v>
      </c>
      <c r="D17" s="245">
        <v>4</v>
      </c>
      <c r="E17" s="79"/>
      <c r="F17" s="79"/>
      <c r="G17" s="79"/>
      <c r="H17" s="79"/>
      <c r="I17" s="79"/>
      <c r="J17" s="79"/>
      <c r="K17" s="79"/>
      <c r="L17" s="92"/>
      <c r="M17" s="79"/>
      <c r="N17" s="79"/>
      <c r="O17" s="79"/>
      <c r="P17" s="79"/>
      <c r="Q17" s="79"/>
      <c r="R17" s="79"/>
      <c r="S17" s="79"/>
      <c r="T17" s="79"/>
      <c r="U17" s="79"/>
      <c r="V17" s="79"/>
      <c r="W17" s="79"/>
      <c r="X17" s="79"/>
      <c r="Y17" s="79"/>
      <c r="Z17" s="79"/>
      <c r="AA17" s="79"/>
      <c r="AB17" s="231"/>
      <c r="AC17" s="79"/>
      <c r="AD17" s="79"/>
      <c r="AE17" s="79"/>
      <c r="AF17" s="79"/>
      <c r="AG17" s="79"/>
      <c r="AH17" s="79"/>
      <c r="AI17" s="79"/>
      <c r="AJ17" s="79"/>
      <c r="AK17" s="246"/>
      <c r="AL17" s="79"/>
      <c r="AM17" s="79"/>
      <c r="AN17" s="79"/>
      <c r="AO17" s="79"/>
      <c r="AP17" s="79"/>
      <c r="AQ17" s="79"/>
      <c r="AR17" s="79"/>
      <c r="AS17" s="79"/>
      <c r="AT17" s="79"/>
      <c r="AU17" s="79"/>
      <c r="AV17" s="79"/>
      <c r="AW17" s="92"/>
      <c r="AX17" s="92"/>
      <c r="AY17" s="92"/>
      <c r="AZ17" s="92"/>
      <c r="BA17" s="92"/>
      <c r="BB17" s="92"/>
    </row>
    <row r="18" spans="1:54" ht="16.2" x14ac:dyDescent="0.25">
      <c r="A18" s="30"/>
      <c r="B18" s="138" t="s">
        <v>1978</v>
      </c>
      <c r="C18" s="135" t="s">
        <v>326</v>
      </c>
      <c r="D18" s="245">
        <v>30</v>
      </c>
      <c r="E18" s="79"/>
      <c r="F18" s="79"/>
      <c r="G18" s="79"/>
      <c r="H18" s="79"/>
      <c r="I18" s="79"/>
      <c r="J18" s="79"/>
      <c r="K18" s="79"/>
      <c r="L18" s="92"/>
      <c r="M18" s="79"/>
      <c r="N18" s="79"/>
      <c r="O18" s="79"/>
      <c r="P18" s="79"/>
      <c r="Q18" s="79"/>
      <c r="R18" s="79"/>
      <c r="S18" s="79"/>
      <c r="T18" s="79"/>
      <c r="U18" s="79"/>
      <c r="V18" s="79"/>
      <c r="W18" s="231"/>
      <c r="X18" s="79"/>
      <c r="Y18" s="79"/>
      <c r="Z18" s="79"/>
      <c r="AA18" s="79"/>
      <c r="AB18" s="231"/>
      <c r="AC18" s="79"/>
      <c r="AD18" s="79"/>
      <c r="AE18" s="231"/>
      <c r="AF18" s="79"/>
      <c r="AG18" s="79"/>
      <c r="AH18" s="79"/>
      <c r="AI18" s="79"/>
      <c r="AJ18" s="79"/>
      <c r="AK18" s="79"/>
      <c r="AL18" s="79"/>
      <c r="AM18" s="79"/>
      <c r="AN18" s="79"/>
      <c r="AO18" s="246"/>
      <c r="AP18" s="79"/>
      <c r="AQ18" s="79"/>
      <c r="AR18" s="79"/>
      <c r="AS18" s="79"/>
      <c r="AT18" s="79"/>
      <c r="AU18" s="246"/>
      <c r="AV18" s="79"/>
      <c r="AW18" s="92"/>
      <c r="AX18" s="92"/>
      <c r="AY18" s="92"/>
      <c r="AZ18" s="92"/>
      <c r="BA18" s="92"/>
      <c r="BB18" s="92"/>
    </row>
    <row r="19" spans="1:54" ht="16.2" outlineLevel="1" x14ac:dyDescent="0.25">
      <c r="A19" s="30"/>
      <c r="B19" s="250" t="s">
        <v>1978</v>
      </c>
      <c r="C19" s="249" t="s">
        <v>1976</v>
      </c>
      <c r="D19" s="245">
        <v>20</v>
      </c>
      <c r="E19" s="79"/>
      <c r="F19" s="79"/>
      <c r="G19" s="79"/>
      <c r="H19" s="79"/>
      <c r="I19" s="79"/>
      <c r="J19" s="79"/>
      <c r="K19" s="79"/>
      <c r="L19" s="92"/>
      <c r="M19" s="79"/>
      <c r="N19" s="79"/>
      <c r="O19" s="79"/>
      <c r="P19" s="79"/>
      <c r="Q19" s="79"/>
      <c r="R19" s="79"/>
      <c r="S19" s="79"/>
      <c r="T19" s="79"/>
      <c r="U19" s="79"/>
      <c r="V19" s="79"/>
      <c r="W19" s="231"/>
      <c r="X19" s="79"/>
      <c r="Y19" s="79"/>
      <c r="Z19" s="79"/>
      <c r="AA19" s="79"/>
      <c r="AB19" s="79"/>
      <c r="AC19" s="79"/>
      <c r="AD19" s="79"/>
      <c r="AE19" s="79"/>
      <c r="AF19" s="79"/>
      <c r="AG19" s="79"/>
      <c r="AH19" s="79"/>
      <c r="AI19" s="79"/>
      <c r="AJ19" s="79"/>
      <c r="AK19" s="79"/>
      <c r="AL19" s="79"/>
      <c r="AM19" s="79"/>
      <c r="AN19" s="79"/>
      <c r="AO19" s="246"/>
      <c r="AP19" s="79"/>
      <c r="AQ19" s="79"/>
      <c r="AR19" s="79"/>
      <c r="AS19" s="79"/>
      <c r="AT19" s="79"/>
      <c r="AU19" s="79"/>
      <c r="AV19" s="79"/>
      <c r="AW19" s="92"/>
      <c r="AX19" s="92"/>
      <c r="AY19" s="92"/>
      <c r="AZ19" s="92"/>
      <c r="BA19" s="92"/>
      <c r="BB19" s="92"/>
    </row>
    <row r="20" spans="1:54" ht="16.2" outlineLevel="1" x14ac:dyDescent="0.25">
      <c r="A20" s="30"/>
      <c r="B20" s="250" t="s">
        <v>1978</v>
      </c>
      <c r="C20" s="249" t="s">
        <v>1977</v>
      </c>
      <c r="D20" s="245">
        <v>6</v>
      </c>
      <c r="E20" s="79"/>
      <c r="F20" s="79"/>
      <c r="G20" s="79"/>
      <c r="H20" s="79"/>
      <c r="I20" s="79"/>
      <c r="J20" s="79"/>
      <c r="K20" s="79"/>
      <c r="L20" s="92"/>
      <c r="M20" s="79"/>
      <c r="N20" s="79"/>
      <c r="O20" s="79"/>
      <c r="P20" s="79"/>
      <c r="Q20" s="79"/>
      <c r="R20" s="79"/>
      <c r="S20" s="79"/>
      <c r="T20" s="79"/>
      <c r="U20" s="79"/>
      <c r="V20" s="79"/>
      <c r="W20" s="79"/>
      <c r="X20" s="79"/>
      <c r="Y20" s="79"/>
      <c r="Z20" s="79"/>
      <c r="AA20" s="79"/>
      <c r="AB20" s="231"/>
      <c r="AC20" s="79"/>
      <c r="AD20" s="79"/>
      <c r="AE20" s="79"/>
      <c r="AF20" s="79"/>
      <c r="AG20" s="79"/>
      <c r="AH20" s="79"/>
      <c r="AI20" s="79"/>
      <c r="AJ20" s="79"/>
      <c r="AK20" s="79"/>
      <c r="AL20" s="79"/>
      <c r="AM20" s="79"/>
      <c r="AN20" s="79"/>
      <c r="AO20" s="79"/>
      <c r="AP20" s="79"/>
      <c r="AQ20" s="79"/>
      <c r="AR20" s="79"/>
      <c r="AS20" s="79"/>
      <c r="AT20" s="79"/>
      <c r="AU20" s="246"/>
      <c r="AV20" s="79"/>
      <c r="AW20" s="92"/>
      <c r="AX20" s="92"/>
      <c r="AY20" s="92"/>
      <c r="AZ20" s="92"/>
      <c r="BA20" s="92"/>
      <c r="BB20" s="92"/>
    </row>
    <row r="21" spans="1:54" ht="16.2" outlineLevel="1" x14ac:dyDescent="0.25">
      <c r="A21" s="30"/>
      <c r="B21" s="250" t="s">
        <v>1978</v>
      </c>
      <c r="C21" s="249" t="s">
        <v>1979</v>
      </c>
      <c r="D21" s="245">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1"/>
      <c r="AF21" s="79"/>
      <c r="AG21" s="79"/>
      <c r="AH21" s="79"/>
      <c r="AI21" s="79"/>
      <c r="AJ21" s="79"/>
      <c r="AK21" s="79"/>
      <c r="AL21" s="79"/>
      <c r="AM21" s="79"/>
      <c r="AN21" s="79"/>
      <c r="AO21" s="246"/>
      <c r="AP21" s="79"/>
      <c r="AQ21" s="79"/>
      <c r="AR21" s="79"/>
      <c r="AS21" s="79"/>
      <c r="AT21" s="79"/>
      <c r="AU21" s="79"/>
      <c r="AV21" s="79"/>
      <c r="AW21" s="92"/>
      <c r="AX21" s="92"/>
      <c r="AY21" s="92"/>
      <c r="AZ21" s="92"/>
      <c r="BA21" s="92"/>
      <c r="BB21" s="92"/>
    </row>
    <row r="22" spans="1:54" ht="16.2" x14ac:dyDescent="0.25">
      <c r="A22" s="30"/>
      <c r="B22" s="138" t="s">
        <v>1978</v>
      </c>
      <c r="C22" s="135" t="s">
        <v>332</v>
      </c>
      <c r="D22" s="245">
        <v>7</v>
      </c>
      <c r="E22" s="79"/>
      <c r="F22" s="79"/>
      <c r="G22" s="79"/>
      <c r="H22" s="79"/>
      <c r="I22" s="79"/>
      <c r="J22" s="79"/>
      <c r="K22" s="79"/>
      <c r="L22" s="92"/>
      <c r="M22" s="79"/>
      <c r="N22" s="79"/>
      <c r="O22" s="79"/>
      <c r="P22" s="79"/>
      <c r="Q22" s="79"/>
      <c r="R22" s="231"/>
      <c r="S22" s="79"/>
      <c r="T22" s="79"/>
      <c r="U22" s="79"/>
      <c r="V22" s="79"/>
      <c r="W22" s="79"/>
      <c r="X22" s="79"/>
      <c r="Y22" s="79"/>
      <c r="Z22" s="79"/>
      <c r="AA22" s="246"/>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x14ac:dyDescent="0.25">
      <c r="A23" s="30"/>
      <c r="B23" s="138" t="s">
        <v>1980</v>
      </c>
      <c r="C23" s="135" t="s">
        <v>334</v>
      </c>
      <c r="D23" s="245">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1"/>
      <c r="AF23" s="79"/>
      <c r="AG23" s="79"/>
      <c r="AH23" s="79"/>
      <c r="AI23" s="79"/>
      <c r="AJ23" s="79"/>
      <c r="AK23" s="79"/>
      <c r="AL23" s="79"/>
      <c r="AM23" s="79"/>
      <c r="AN23" s="79"/>
      <c r="AO23" s="79"/>
      <c r="AP23" s="79"/>
      <c r="AQ23" s="79"/>
      <c r="AR23" s="79"/>
      <c r="AS23" s="79"/>
      <c r="AT23" s="79"/>
      <c r="AU23" s="246"/>
      <c r="AV23" s="79"/>
      <c r="AW23" s="92"/>
      <c r="AX23" s="92"/>
      <c r="AY23" s="92"/>
      <c r="AZ23" s="92"/>
      <c r="BA23" s="92"/>
      <c r="BB23" s="92"/>
    </row>
    <row r="24" spans="1:54" ht="16.2" x14ac:dyDescent="0.25">
      <c r="A24" s="30"/>
      <c r="B24" s="138" t="s">
        <v>26</v>
      </c>
      <c r="C24" s="137" t="s">
        <v>336</v>
      </c>
      <c r="D24" s="245">
        <v>32</v>
      </c>
      <c r="E24" s="79"/>
      <c r="F24" s="79"/>
      <c r="G24" s="79"/>
      <c r="H24" s="79"/>
      <c r="I24" s="79"/>
      <c r="J24" s="79"/>
      <c r="K24" s="231"/>
      <c r="L24" s="92"/>
      <c r="M24" s="79"/>
      <c r="N24" s="79"/>
      <c r="O24" s="79"/>
      <c r="P24" s="79"/>
      <c r="Q24" s="246"/>
      <c r="R24" s="79"/>
      <c r="S24" s="79"/>
      <c r="T24" s="79"/>
      <c r="U24" s="79"/>
      <c r="V24" s="79"/>
      <c r="W24" s="231"/>
      <c r="X24" s="79"/>
      <c r="Y24" s="79"/>
      <c r="Z24" s="79"/>
      <c r="AA24" s="79"/>
      <c r="AB24" s="231"/>
      <c r="AC24" s="79"/>
      <c r="AD24" s="79"/>
      <c r="AE24" s="246"/>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x14ac:dyDescent="0.25">
      <c r="A25" s="30"/>
      <c r="B25" s="250" t="s">
        <v>26</v>
      </c>
      <c r="C25" s="249" t="s">
        <v>1976</v>
      </c>
      <c r="D25" s="245">
        <v>1</v>
      </c>
      <c r="E25" s="79"/>
      <c r="F25" s="79"/>
      <c r="G25" s="79"/>
      <c r="H25" s="79"/>
      <c r="I25" s="79"/>
      <c r="J25" s="79"/>
      <c r="K25" s="231"/>
      <c r="L25" s="92"/>
      <c r="M25" s="79"/>
      <c r="N25" s="79"/>
      <c r="O25" s="79"/>
      <c r="P25" s="79"/>
      <c r="Q25" s="246"/>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x14ac:dyDescent="0.25">
      <c r="A26" s="30"/>
      <c r="B26" s="250" t="s">
        <v>26</v>
      </c>
      <c r="C26" s="249" t="s">
        <v>1977</v>
      </c>
      <c r="D26" s="245">
        <v>15</v>
      </c>
      <c r="E26" s="79"/>
      <c r="F26" s="79"/>
      <c r="G26" s="79"/>
      <c r="H26" s="79"/>
      <c r="I26" s="79"/>
      <c r="J26" s="79"/>
      <c r="K26" s="79"/>
      <c r="L26" s="92"/>
      <c r="M26" s="79"/>
      <c r="N26" s="79"/>
      <c r="O26" s="79"/>
      <c r="P26" s="79"/>
      <c r="Q26" s="79"/>
      <c r="R26" s="79"/>
      <c r="S26" s="79"/>
      <c r="T26" s="79"/>
      <c r="U26" s="79"/>
      <c r="V26" s="79"/>
      <c r="W26" s="231"/>
      <c r="X26" s="79"/>
      <c r="Y26" s="79"/>
      <c r="Z26" s="79"/>
      <c r="AA26" s="79"/>
      <c r="AB26" s="79"/>
      <c r="AC26" s="79"/>
      <c r="AD26" s="79"/>
      <c r="AE26" s="246"/>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x14ac:dyDescent="0.25">
      <c r="A27" s="30"/>
      <c r="B27" s="250" t="s">
        <v>26</v>
      </c>
      <c r="C27" s="249" t="s">
        <v>1979</v>
      </c>
      <c r="D27" s="245">
        <v>3</v>
      </c>
      <c r="E27" s="79"/>
      <c r="F27" s="79"/>
      <c r="G27" s="79"/>
      <c r="H27" s="79"/>
      <c r="I27" s="79"/>
      <c r="J27" s="79"/>
      <c r="K27" s="79"/>
      <c r="L27" s="92"/>
      <c r="M27" s="79"/>
      <c r="N27" s="79"/>
      <c r="O27" s="79"/>
      <c r="P27" s="79"/>
      <c r="Q27" s="79"/>
      <c r="R27" s="79"/>
      <c r="S27" s="79"/>
      <c r="T27" s="79"/>
      <c r="U27" s="79"/>
      <c r="V27" s="79"/>
      <c r="W27" s="79"/>
      <c r="X27" s="79"/>
      <c r="Y27" s="79"/>
      <c r="Z27" s="79"/>
      <c r="AA27" s="79"/>
      <c r="AB27" s="231"/>
      <c r="AC27" s="79"/>
      <c r="AD27" s="79"/>
      <c r="AE27" s="246"/>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x14ac:dyDescent="0.25">
      <c r="A28" s="30"/>
      <c r="B28" s="250" t="s">
        <v>26</v>
      </c>
      <c r="C28" s="251" t="s">
        <v>1981</v>
      </c>
      <c r="D28" s="245">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x14ac:dyDescent="0.25">
      <c r="A29" s="30"/>
      <c r="B29" s="138" t="s">
        <v>26</v>
      </c>
      <c r="C29" s="137" t="s">
        <v>369</v>
      </c>
      <c r="D29" s="245">
        <v>22</v>
      </c>
      <c r="E29" s="79"/>
      <c r="F29" s="79"/>
      <c r="G29" s="79"/>
      <c r="H29" s="79"/>
      <c r="I29" s="79"/>
      <c r="J29" s="79"/>
      <c r="K29" s="231"/>
      <c r="L29" s="92"/>
      <c r="M29" s="79"/>
      <c r="N29" s="79"/>
      <c r="O29" s="79"/>
      <c r="P29" s="79"/>
      <c r="Q29" s="246"/>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x14ac:dyDescent="0.25">
      <c r="A30" s="30"/>
      <c r="B30" s="250" t="s">
        <v>26</v>
      </c>
      <c r="C30" s="249" t="s">
        <v>1976</v>
      </c>
      <c r="D30" s="245">
        <v>11</v>
      </c>
      <c r="E30" s="79"/>
      <c r="F30" s="79"/>
      <c r="G30" s="79"/>
      <c r="H30" s="79"/>
      <c r="I30" s="79"/>
      <c r="J30" s="79"/>
      <c r="K30" s="231"/>
      <c r="L30" s="92"/>
      <c r="M30" s="79"/>
      <c r="N30" s="79"/>
      <c r="O30" s="79"/>
      <c r="P30" s="79"/>
      <c r="Q30" s="246"/>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x14ac:dyDescent="0.25">
      <c r="A31" s="30"/>
      <c r="B31" s="250" t="s">
        <v>26</v>
      </c>
      <c r="C31" s="251" t="s">
        <v>1982</v>
      </c>
      <c r="D31" s="245">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x14ac:dyDescent="0.25">
      <c r="A32" s="30"/>
      <c r="B32" s="138" t="s">
        <v>26</v>
      </c>
      <c r="C32" s="137" t="s">
        <v>380</v>
      </c>
      <c r="D32" s="245">
        <v>14</v>
      </c>
      <c r="E32" s="79"/>
      <c r="F32" s="231"/>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x14ac:dyDescent="0.25">
      <c r="A33" s="30"/>
      <c r="B33" s="250" t="s">
        <v>26</v>
      </c>
      <c r="C33" s="249" t="s">
        <v>1983</v>
      </c>
      <c r="D33" s="245">
        <v>3</v>
      </c>
      <c r="E33" s="79"/>
      <c r="F33" s="79"/>
      <c r="G33" s="79"/>
      <c r="H33" s="79"/>
      <c r="I33" s="79"/>
      <c r="J33" s="79"/>
      <c r="K33" s="79"/>
      <c r="L33" s="92"/>
      <c r="M33" s="79"/>
      <c r="N33" s="79"/>
      <c r="O33" s="79"/>
      <c r="P33" s="79"/>
      <c r="Q33" s="246"/>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x14ac:dyDescent="0.25">
      <c r="A34" s="30"/>
      <c r="B34" s="250" t="s">
        <v>26</v>
      </c>
      <c r="C34" s="249" t="s">
        <v>1976</v>
      </c>
      <c r="D34" s="245">
        <v>1</v>
      </c>
      <c r="E34" s="79"/>
      <c r="F34" s="231"/>
      <c r="G34" s="79"/>
      <c r="H34" s="79"/>
      <c r="I34" s="79"/>
      <c r="J34" s="79"/>
      <c r="K34" s="246"/>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x14ac:dyDescent="0.25">
      <c r="A35" s="30"/>
      <c r="B35" s="250" t="s">
        <v>26</v>
      </c>
      <c r="C35" s="251" t="s">
        <v>1984</v>
      </c>
      <c r="D35" s="245">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x14ac:dyDescent="0.25">
      <c r="A36" s="30"/>
      <c r="B36" s="138" t="s">
        <v>26</v>
      </c>
      <c r="C36" s="252" t="s">
        <v>2009</v>
      </c>
      <c r="D36" s="245">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x14ac:dyDescent="0.25">
      <c r="A37" s="30"/>
      <c r="B37" s="138" t="s">
        <v>1975</v>
      </c>
      <c r="C37" s="137" t="s">
        <v>1985</v>
      </c>
      <c r="D37" s="245" t="s">
        <v>1986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x14ac:dyDescent="0.25"/>
  </sheetData>
  <conditionalFormatting sqref="E12:BB37">
    <cfRule type="cellIs" dxfId="7" priority="2" operator="greaterThan">
      <formula>0</formula>
    </cfRule>
  </conditionalFormatting>
  <conditionalFormatting sqref="G7:BB7">
    <cfRule type="cellIs" dxfId="6"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CN234"/>
  <sheetViews>
    <sheetView showGridLines="0" tabSelected="1" zoomScale="80" zoomScaleNormal="80" workbookViewId="0">
      <pane xSplit="7" ySplit="16" topLeftCell="J17" activePane="bottomRight" state="frozen"/>
      <selection pane="topRight" activeCell="G1" sqref="G1"/>
      <selection pane="bottomLeft" activeCell="A8" sqref="A8"/>
      <selection pane="bottomRight" activeCell="G53" sqref="G53"/>
    </sheetView>
  </sheetViews>
  <sheetFormatPr defaultColWidth="0" defaultRowHeight="13.8" outlineLevelRow="1" x14ac:dyDescent="0.25"/>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customWidth="1"/>
    <col min="10" max="11" width="21" customWidth="1"/>
    <col min="12" max="12" width="21" style="179" customWidth="1"/>
    <col min="13" max="13" width="19" style="179" customWidth="1"/>
    <col min="14" max="16" width="17.8984375" style="278" customWidth="1"/>
    <col min="17" max="17" width="50.59765625" style="278" bestFit="1"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x14ac:dyDescent="0.25">
      <c r="N1"/>
      <c r="O1"/>
      <c r="P1"/>
      <c r="Q1"/>
    </row>
    <row r="2" spans="1:86" x14ac:dyDescent="0.25">
      <c r="A2" s="7"/>
      <c r="B2" s="7"/>
      <c r="C2" s="7"/>
      <c r="D2" s="7"/>
      <c r="E2" s="7"/>
      <c r="F2" s="7"/>
      <c r="G2" s="7"/>
      <c r="H2" s="7"/>
      <c r="I2" s="7"/>
      <c r="J2" s="7"/>
      <c r="K2" s="7"/>
      <c r="L2" s="272"/>
      <c r="M2" s="272"/>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x14ac:dyDescent="0.25">
      <c r="A3" s="10"/>
      <c r="B3" s="10"/>
      <c r="C3" s="10"/>
      <c r="D3" s="10"/>
      <c r="E3" s="10"/>
      <c r="F3" s="10"/>
      <c r="G3" s="10"/>
      <c r="H3" s="9"/>
      <c r="I3" s="9"/>
      <c r="J3" s="9"/>
      <c r="K3" s="9"/>
      <c r="L3" s="273"/>
      <c r="M3" s="273"/>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x14ac:dyDescent="0.25">
      <c r="A4" s="7"/>
      <c r="B4" s="7"/>
      <c r="C4" s="7"/>
      <c r="D4" s="7"/>
      <c r="E4" s="7"/>
      <c r="F4" s="7"/>
      <c r="G4" s="7"/>
      <c r="H4" s="7"/>
      <c r="I4" s="7"/>
      <c r="J4" s="7"/>
      <c r="K4" s="7"/>
      <c r="L4" s="272"/>
      <c r="M4" s="272"/>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x14ac:dyDescent="0.25">
      <c r="A5" s="5"/>
      <c r="B5" s="5"/>
      <c r="C5" s="5"/>
      <c r="D5" s="5"/>
      <c r="E5" s="5"/>
      <c r="F5" s="5"/>
      <c r="G5" s="5"/>
      <c r="H5" s="5"/>
      <c r="I5" s="5"/>
      <c r="J5" s="5"/>
      <c r="K5" s="5"/>
      <c r="L5" s="274"/>
      <c r="M5" s="274"/>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x14ac:dyDescent="0.25">
      <c r="N6"/>
      <c r="O6"/>
      <c r="P6"/>
      <c r="Q6"/>
      <c r="W6" t="s">
        <v>2020</v>
      </c>
      <c r="X6">
        <f>X7-X8</f>
        <v>-2</v>
      </c>
      <c r="Y6">
        <f>Y7-Y8</f>
        <v>-2.5</v>
      </c>
      <c r="Z6">
        <f>Z7-Z8</f>
        <v>-2.5</v>
      </c>
      <c r="AA6">
        <f>AA7-AA8</f>
        <v>-2</v>
      </c>
      <c r="AB6">
        <f>AB7-AB8</f>
        <v>-2</v>
      </c>
      <c r="AD6">
        <f t="shared" ref="AD6:BM6" si="0">AD7-AD8</f>
        <v>-1.5</v>
      </c>
      <c r="AE6">
        <f t="shared" si="0"/>
        <v>-2</v>
      </c>
      <c r="AF6">
        <f t="shared" si="0"/>
        <v>1</v>
      </c>
      <c r="AG6">
        <f t="shared" si="0"/>
        <v>0.5</v>
      </c>
      <c r="AH6">
        <f t="shared" si="0"/>
        <v>0</v>
      </c>
      <c r="AI6">
        <f t="shared" si="0"/>
        <v>0</v>
      </c>
      <c r="AJ6">
        <f t="shared" si="0"/>
        <v>0</v>
      </c>
      <c r="AK6">
        <f t="shared" si="0"/>
        <v>0.10000000000000009</v>
      </c>
      <c r="AL6">
        <f t="shared" si="0"/>
        <v>-1</v>
      </c>
      <c r="AM6">
        <f t="shared" si="0"/>
        <v>-1.5</v>
      </c>
      <c r="AN6">
        <f t="shared" si="0"/>
        <v>-9.9999999999999645E-2</v>
      </c>
      <c r="AO6">
        <f t="shared" si="0"/>
        <v>0</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x14ac:dyDescent="0.25">
      <c r="N7"/>
      <c r="O7"/>
      <c r="P7"/>
      <c r="Q7"/>
      <c r="X7" s="286">
        <f>SUM(X18:X234)</f>
        <v>0</v>
      </c>
      <c r="Y7" s="286">
        <f>SUM(Y18:Y234)</f>
        <v>0.5</v>
      </c>
      <c r="Z7" s="286">
        <f>SUM(Z18:Z234)</f>
        <v>0.5</v>
      </c>
      <c r="AA7" s="286">
        <f>SUM(AA18:AA234)</f>
        <v>1</v>
      </c>
      <c r="AB7" s="286">
        <f>SUM(AB18:AB234)</f>
        <v>0</v>
      </c>
      <c r="AC7" s="286">
        <f>SUM(AC18:AC234)</f>
        <v>0</v>
      </c>
      <c r="AD7" s="286">
        <f>SUM(AD18:AD234)</f>
        <v>0.5</v>
      </c>
      <c r="AE7" s="286">
        <f>SUM(AE18:AE234)</f>
        <v>0</v>
      </c>
      <c r="AF7" s="286">
        <f>SUM(AF18:AF234)</f>
        <v>4</v>
      </c>
      <c r="AG7" s="286">
        <f>SUM(AG18:AG234)</f>
        <v>3.5</v>
      </c>
      <c r="AH7" s="286">
        <f>SUM(AH18:AH234)</f>
        <v>3</v>
      </c>
      <c r="AI7" s="286">
        <f>SUM(AI18:AI234)</f>
        <v>3</v>
      </c>
      <c r="AJ7" s="286">
        <f>SUM(AJ18:AJ234)</f>
        <v>3</v>
      </c>
      <c r="AK7" s="286">
        <f>SUM(AK18:AK234)</f>
        <v>3.1</v>
      </c>
      <c r="AL7" s="286">
        <f>SUM(AL18:AL234)</f>
        <v>2</v>
      </c>
      <c r="AM7" s="286">
        <f>SUM(AM18:AM234)</f>
        <v>1.5</v>
      </c>
      <c r="AN7" s="286">
        <f>SUM(AN18:AN234)</f>
        <v>2.9000000000000004</v>
      </c>
      <c r="AO7" s="286">
        <f>SUM(AO18:AO234)</f>
        <v>3</v>
      </c>
      <c r="AP7" s="286">
        <f>SUM(AP18:AP234)</f>
        <v>3</v>
      </c>
      <c r="AQ7" s="286">
        <f>SUM(AQ18:AQ234)</f>
        <v>3</v>
      </c>
      <c r="AR7" s="286">
        <f>SUM(AR18:AR234)</f>
        <v>3</v>
      </c>
      <c r="AS7" s="286">
        <f>SUM(AS18:AS234)</f>
        <v>2.5</v>
      </c>
      <c r="AT7" s="286">
        <f>SUM(AT18:AT234)</f>
        <v>3</v>
      </c>
      <c r="AU7" s="286">
        <f>SUM(AU18:AU234)</f>
        <v>3</v>
      </c>
      <c r="AV7" s="286">
        <f>SUM(AV18:AV234)</f>
        <v>3</v>
      </c>
      <c r="AW7" s="286">
        <f>SUM(AW18:AW234)</f>
        <v>3</v>
      </c>
      <c r="AX7" s="286">
        <f>SUM(AX18:AX234)</f>
        <v>3</v>
      </c>
      <c r="AY7" s="286">
        <f>SUM(AY18:AY234)</f>
        <v>3.2</v>
      </c>
      <c r="AZ7" s="286">
        <f>SUM(AZ18:AZ234)</f>
        <v>3</v>
      </c>
      <c r="BA7" s="286">
        <f>SUM(BA18:BA234)</f>
        <v>3</v>
      </c>
      <c r="BB7" s="286">
        <f>SUM(BB18:BB234)</f>
        <v>3</v>
      </c>
      <c r="BC7" s="286">
        <f>SUM(BC18:BC234)</f>
        <v>3</v>
      </c>
      <c r="BD7" s="286">
        <f>SUM(BD18:BD234)</f>
        <v>3</v>
      </c>
      <c r="BE7" s="286">
        <f>SUM(BE18:BE234)</f>
        <v>3</v>
      </c>
      <c r="BF7" s="286">
        <f>SUM(BF18:BF234)</f>
        <v>3</v>
      </c>
      <c r="BG7" s="286">
        <f>SUM(BG18:BG234)</f>
        <v>3</v>
      </c>
      <c r="BH7" s="286">
        <f>SUM(BH18:BH234)</f>
        <v>3</v>
      </c>
      <c r="BI7" s="286">
        <f>SUM(BI18:BI234)</f>
        <v>3</v>
      </c>
      <c r="BJ7" s="286">
        <f>SUM(BJ18:BJ234)</f>
        <v>3</v>
      </c>
      <c r="BK7" s="286">
        <f>SUM(BK18:BK234)</f>
        <v>3</v>
      </c>
      <c r="BL7" s="286">
        <f>SUM(BL18:BL234)</f>
        <v>3</v>
      </c>
      <c r="BM7" s="286">
        <f>SUM(BM18:BM234)</f>
        <v>3.5</v>
      </c>
      <c r="BN7" s="286">
        <f>SUM(BN18:BN234)</f>
        <v>0</v>
      </c>
      <c r="BO7" s="286">
        <f>SUM(BO18:BO234)</f>
        <v>0</v>
      </c>
      <c r="BP7" s="286">
        <f>SUM(BP18:BP234)</f>
        <v>0</v>
      </c>
      <c r="BQ7" s="286">
        <f>SUM(BQ18:BQ234)</f>
        <v>0</v>
      </c>
      <c r="BR7" s="286">
        <f>SUM(BR18:BR234)</f>
        <v>0</v>
      </c>
      <c r="BS7" s="286">
        <f>SUM(BS18:BS234)</f>
        <v>0</v>
      </c>
      <c r="BT7" s="286">
        <f>SUM(BT18:BT234)</f>
        <v>0</v>
      </c>
      <c r="BU7" s="286">
        <f>SUM(BU18:BU234)</f>
        <v>3</v>
      </c>
      <c r="BV7" s="286">
        <f>SUM(BV18:BV234)</f>
        <v>3</v>
      </c>
      <c r="BW7" s="286">
        <f>SUM(BW18:BW234)</f>
        <v>3</v>
      </c>
      <c r="BX7" s="286">
        <f>SUM(BX18:BX234)</f>
        <v>3</v>
      </c>
      <c r="BY7" s="286">
        <f>SUM(BY18:BY234)</f>
        <v>3</v>
      </c>
      <c r="BZ7" s="286">
        <f>SUM(BZ18:BZ234)</f>
        <v>3</v>
      </c>
      <c r="CA7" s="286">
        <f>SUM(CA18:CA234)</f>
        <v>3</v>
      </c>
      <c r="CB7" s="286">
        <f>SUM(CB18:CB234)</f>
        <v>3</v>
      </c>
      <c r="CC7" s="286">
        <f>SUM(CC18:CC234)</f>
        <v>3</v>
      </c>
      <c r="CD7" s="286">
        <f>SUM(CD18:CD234)</f>
        <v>3</v>
      </c>
      <c r="CE7" s="286">
        <f>SUM(CE18:CE234)</f>
        <v>3</v>
      </c>
      <c r="CF7" s="286">
        <f>SUM(CF18:CF234)</f>
        <v>3</v>
      </c>
      <c r="CG7" s="286">
        <f>SUM(CG18:CG234)</f>
        <v>3</v>
      </c>
      <c r="CH7" s="286">
        <f>SUM(CH18:CH234)</f>
        <v>1</v>
      </c>
    </row>
    <row r="8" spans="1:86" hidden="1" x14ac:dyDescent="0.25">
      <c r="N8"/>
      <c r="O8"/>
      <c r="P8"/>
      <c r="Q8"/>
      <c r="X8" s="286">
        <v>2</v>
      </c>
      <c r="Y8" s="286">
        <v>3</v>
      </c>
      <c r="Z8" s="286">
        <v>3</v>
      </c>
      <c r="AA8" s="286">
        <v>3</v>
      </c>
      <c r="AB8" s="286">
        <v>2</v>
      </c>
      <c r="AC8" s="286"/>
      <c r="AD8" s="286">
        <v>2</v>
      </c>
      <c r="AE8" s="286">
        <v>2</v>
      </c>
      <c r="AF8" s="286">
        <v>3</v>
      </c>
      <c r="AG8" s="286">
        <v>3</v>
      </c>
      <c r="AH8" s="286">
        <v>3</v>
      </c>
      <c r="AI8" s="286">
        <v>3</v>
      </c>
      <c r="AJ8" s="286">
        <v>3</v>
      </c>
      <c r="AK8" s="286">
        <v>3</v>
      </c>
      <c r="AL8" s="286">
        <v>3</v>
      </c>
      <c r="AM8" s="286">
        <v>3</v>
      </c>
      <c r="AN8" s="286">
        <v>3</v>
      </c>
      <c r="AO8" s="286">
        <v>3</v>
      </c>
      <c r="AP8" s="286">
        <v>3</v>
      </c>
      <c r="AQ8" s="286">
        <v>3</v>
      </c>
      <c r="AR8" s="286">
        <v>3</v>
      </c>
      <c r="AS8" s="286">
        <v>3</v>
      </c>
      <c r="AT8" s="286">
        <v>3</v>
      </c>
      <c r="AU8" s="286">
        <v>3</v>
      </c>
      <c r="AV8" s="286">
        <v>3</v>
      </c>
      <c r="AW8" s="286">
        <v>3</v>
      </c>
      <c r="AX8" s="286">
        <v>3</v>
      </c>
      <c r="AY8" s="286">
        <v>3</v>
      </c>
      <c r="AZ8" s="286">
        <v>3</v>
      </c>
      <c r="BA8" s="286">
        <v>3</v>
      </c>
      <c r="BB8" s="286">
        <v>3</v>
      </c>
      <c r="BC8" s="286">
        <v>3</v>
      </c>
      <c r="BD8" s="286">
        <v>3</v>
      </c>
      <c r="BE8" s="286">
        <v>3</v>
      </c>
      <c r="BF8" s="286">
        <v>3</v>
      </c>
      <c r="BG8" s="286">
        <v>3</v>
      </c>
      <c r="BH8" s="286">
        <v>3</v>
      </c>
      <c r="BI8" s="286">
        <v>3</v>
      </c>
      <c r="BJ8" s="286">
        <v>3</v>
      </c>
      <c r="BK8" s="286">
        <v>3</v>
      </c>
      <c r="BL8" s="286">
        <v>3</v>
      </c>
      <c r="BM8" s="286">
        <v>3</v>
      </c>
      <c r="BN8" s="286">
        <v>3</v>
      </c>
      <c r="BO8" s="286">
        <v>3</v>
      </c>
      <c r="BP8" s="286">
        <v>3</v>
      </c>
      <c r="BQ8" s="286">
        <v>3</v>
      </c>
      <c r="BR8" s="286">
        <v>3</v>
      </c>
      <c r="BS8" s="286">
        <v>3</v>
      </c>
      <c r="BT8" s="286">
        <v>3</v>
      </c>
      <c r="BU8" s="286">
        <v>3</v>
      </c>
      <c r="BV8" s="286">
        <v>3</v>
      </c>
      <c r="BW8" s="286">
        <v>3</v>
      </c>
      <c r="BX8" s="286">
        <v>3</v>
      </c>
      <c r="BY8" s="286">
        <v>3</v>
      </c>
      <c r="BZ8" s="286">
        <v>3</v>
      </c>
      <c r="CA8" s="286">
        <v>3</v>
      </c>
      <c r="CB8" s="286">
        <v>3</v>
      </c>
      <c r="CC8" s="286">
        <v>3</v>
      </c>
      <c r="CD8" s="286">
        <v>3</v>
      </c>
      <c r="CE8" s="286">
        <v>3</v>
      </c>
      <c r="CF8" s="286">
        <v>3</v>
      </c>
      <c r="CG8" s="286">
        <v>3</v>
      </c>
      <c r="CH8" s="286">
        <v>3</v>
      </c>
    </row>
    <row r="9" spans="1:86" hidden="1" x14ac:dyDescent="0.25">
      <c r="N9"/>
      <c r="O9"/>
      <c r="P9"/>
      <c r="Q9"/>
    </row>
    <row r="10" spans="1:86" x14ac:dyDescent="0.25">
      <c r="N10"/>
      <c r="O10"/>
      <c r="P10"/>
      <c r="Q10"/>
    </row>
    <row r="11" spans="1:86" x14ac:dyDescent="0.25">
      <c r="B11" s="223"/>
      <c r="C11" t="s">
        <v>573</v>
      </c>
      <c r="N11"/>
      <c r="O11"/>
      <c r="P11"/>
      <c r="Q11"/>
    </row>
    <row r="12" spans="1:86" x14ac:dyDescent="0.25">
      <c r="B12" s="225"/>
      <c r="C12" t="s">
        <v>1952</v>
      </c>
      <c r="N12"/>
      <c r="O12"/>
      <c r="P12"/>
      <c r="Q12"/>
      <c r="R12" s="227"/>
    </row>
    <row r="13" spans="1:86" x14ac:dyDescent="0.25">
      <c r="B13" s="228"/>
      <c r="C13" t="s">
        <v>1953</v>
      </c>
      <c r="N13"/>
      <c r="O13"/>
      <c r="P13"/>
      <c r="Q13"/>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4"/>
      <c r="BD13" s="224"/>
      <c r="BE13" s="224"/>
      <c r="BF13" s="224"/>
      <c r="BG13" s="224"/>
      <c r="BH13" s="224"/>
      <c r="BI13" s="224"/>
      <c r="BJ13" s="224"/>
      <c r="BK13" s="224"/>
      <c r="BL13" s="224"/>
      <c r="BM13" s="224"/>
      <c r="BN13" s="224"/>
      <c r="BO13" s="224"/>
      <c r="BP13" s="224"/>
      <c r="BQ13" s="224"/>
      <c r="BR13" s="224"/>
      <c r="BS13" s="224"/>
      <c r="BT13" s="224"/>
      <c r="BU13" s="224"/>
      <c r="BV13" s="224"/>
      <c r="BW13" s="224"/>
      <c r="BX13" s="224"/>
      <c r="BY13" s="224"/>
      <c r="BZ13" s="224"/>
      <c r="CA13" s="224"/>
      <c r="CB13" s="224"/>
      <c r="CC13" s="224"/>
      <c r="CD13" s="224"/>
      <c r="CE13" s="224"/>
      <c r="CF13" s="224"/>
      <c r="CG13" s="224"/>
      <c r="CH13" s="224"/>
    </row>
    <row r="14" spans="1:86" ht="17.399999999999999" x14ac:dyDescent="0.45">
      <c r="B14" s="226"/>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x14ac:dyDescent="0.25">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8" customFormat="1" ht="17.399999999999999" x14ac:dyDescent="0.25">
      <c r="B16" s="243" t="s">
        <v>8</v>
      </c>
      <c r="C16" s="244" t="s">
        <v>9</v>
      </c>
      <c r="D16" s="244" t="s">
        <v>10</v>
      </c>
      <c r="E16" s="244" t="s">
        <v>11</v>
      </c>
      <c r="F16" s="244" t="s">
        <v>1988</v>
      </c>
      <c r="G16" s="244" t="s">
        <v>12</v>
      </c>
      <c r="H16" s="244" t="s">
        <v>645</v>
      </c>
      <c r="I16" s="275" t="s">
        <v>1954</v>
      </c>
      <c r="J16" s="275" t="s">
        <v>1955</v>
      </c>
      <c r="K16" s="270" t="s">
        <v>1956</v>
      </c>
      <c r="L16" s="275" t="s">
        <v>2018</v>
      </c>
      <c r="M16" s="275" t="s">
        <v>2019</v>
      </c>
      <c r="N16" s="244" t="s">
        <v>2016</v>
      </c>
      <c r="O16" s="244" t="s">
        <v>2017</v>
      </c>
      <c r="P16" s="244" t="s">
        <v>2021</v>
      </c>
      <c r="Q16" s="244" t="s">
        <v>22</v>
      </c>
      <c r="R16" s="269" t="s">
        <v>1242</v>
      </c>
      <c r="S16" s="269" t="s">
        <v>1957</v>
      </c>
      <c r="T16" s="269" t="s">
        <v>1958</v>
      </c>
      <c r="U16" s="271" t="s">
        <v>1959</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2">WORKDAY(BT16,1)</f>
        <v>45659</v>
      </c>
      <c r="BV16" s="78">
        <f t="shared" si="2"/>
        <v>45660</v>
      </c>
      <c r="BW16" s="78">
        <f t="shared" si="2"/>
        <v>45663</v>
      </c>
      <c r="BX16" s="78">
        <f t="shared" si="2"/>
        <v>45664</v>
      </c>
      <c r="BY16" s="78">
        <f>WORKDAY(BX16,1)</f>
        <v>45665</v>
      </c>
      <c r="BZ16" s="78">
        <f t="shared" ref="BZ16:CC16" si="3">WORKDAY(BY16,1)</f>
        <v>45666</v>
      </c>
      <c r="CA16" s="78">
        <f t="shared" si="3"/>
        <v>45667</v>
      </c>
      <c r="CB16" s="78">
        <f t="shared" si="3"/>
        <v>45670</v>
      </c>
      <c r="CC16" s="78">
        <f t="shared" si="3"/>
        <v>45671</v>
      </c>
      <c r="CD16" s="78">
        <f>WORKDAY(CC16,1)</f>
        <v>45672</v>
      </c>
      <c r="CE16" s="78">
        <f t="shared" ref="CE16:CH16" si="4">WORKDAY(CD16,1)</f>
        <v>45673</v>
      </c>
      <c r="CF16" s="78">
        <f t="shared" si="4"/>
        <v>45674</v>
      </c>
      <c r="CG16" s="78">
        <f t="shared" si="4"/>
        <v>45677</v>
      </c>
      <c r="CH16" s="78">
        <f t="shared" si="4"/>
        <v>45678</v>
      </c>
    </row>
    <row r="17" spans="1:86" ht="16.2" x14ac:dyDescent="0.4">
      <c r="A17" s="30"/>
      <c r="B17" s="142" t="s">
        <v>26</v>
      </c>
      <c r="C17" s="138" t="s">
        <v>34</v>
      </c>
      <c r="D17" s="134"/>
      <c r="E17" s="260" t="s">
        <v>37</v>
      </c>
      <c r="F17" s="260" t="s">
        <v>1989</v>
      </c>
      <c r="G17" s="261">
        <f>COUNTA(G18:G29)</f>
        <v>12</v>
      </c>
      <c r="H17" s="136"/>
      <c r="I17" s="229" t="s">
        <v>38</v>
      </c>
      <c r="J17" s="258">
        <f>MIN(J18:J29)</f>
        <v>45624</v>
      </c>
      <c r="K17" s="259"/>
      <c r="L17" s="281">
        <f>MIN(L18:L29)</f>
        <v>45628</v>
      </c>
      <c r="M17" s="281">
        <f>MAX(M18:M29)</f>
        <v>45629</v>
      </c>
      <c r="N17" s="282">
        <f>SUMPRODUCT(N18:N29,T18:T29)/SUM(T18:T29)</f>
        <v>0</v>
      </c>
      <c r="O17" s="282">
        <f ca="1">SUMPRODUCT(O18:O29,T18:T29)/SUM(T18:T29)</f>
        <v>0</v>
      </c>
      <c r="P17" s="276">
        <f ca="1">N17-O17</f>
        <v>0</v>
      </c>
      <c r="Q17" s="287" t="s">
        <v>38</v>
      </c>
      <c r="R17" s="230"/>
      <c r="S17" s="224"/>
      <c r="T17" s="224"/>
      <c r="U17" s="224"/>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1"/>
      <c r="AW17" s="79"/>
      <c r="AX17" s="79"/>
      <c r="AY17" s="79"/>
      <c r="AZ17" s="79"/>
      <c r="BA17" s="79"/>
      <c r="BB17" s="266"/>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hidden="1" outlineLevel="1" x14ac:dyDescent="0.4">
      <c r="A18" s="30" t="str">
        <f t="shared" ref="A18:A86" si="5">E18&amp;G18</f>
        <v>ENERGY_CERTIFICATE_EST_INPUTPROPERTY_BANK_ID</v>
      </c>
      <c r="B18" s="142" t="s">
        <v>26</v>
      </c>
      <c r="C18" s="138" t="s">
        <v>34</v>
      </c>
      <c r="D18" s="253" t="s">
        <v>40</v>
      </c>
      <c r="E18" s="254" t="s">
        <v>37</v>
      </c>
      <c r="F18" s="254"/>
      <c r="G18" s="253" t="s">
        <v>41</v>
      </c>
      <c r="H18" s="255" t="str">
        <f>VLOOKUP(A18,'2. Status Detalhe Campos'!$A$7:$G$574,7,0)</f>
        <v>6. Em implementação (re-especificação)</v>
      </c>
      <c r="I18" s="229" t="s">
        <v>38</v>
      </c>
      <c r="J18" s="153">
        <v>45624</v>
      </c>
      <c r="K18" s="229"/>
      <c r="L18" s="280">
        <f t="array" ref="L18">MIN(IF(V18:CH18&gt;0,$V$16:$CH$16))</f>
        <v>45628</v>
      </c>
      <c r="M18" s="279">
        <f t="array" ref="M18">MAX(IF(V18:CH18&gt;0,$V$16:$CH$16))</f>
        <v>45628</v>
      </c>
      <c r="N18" s="277">
        <f>VLOOKUP(H18,Auxiliar!$B$16:$E$24,4,0)</f>
        <v>0</v>
      </c>
      <c r="O18" s="277">
        <f ca="1">IF(TODAY()&lt;=L18,0,MIN((TODAY()-L18)/(M18-L18+1),100%))</f>
        <v>0</v>
      </c>
      <c r="P18" s="276">
        <f t="shared" ref="P18:P81" ca="1" si="6">N18-O18</f>
        <v>0</v>
      </c>
      <c r="Q18" s="276"/>
      <c r="R18" s="230"/>
      <c r="S18" s="224">
        <v>0.6</v>
      </c>
      <c r="T18" s="224">
        <f t="shared" ref="T18:T83" si="7">ROUND(S18/8,1)</f>
        <v>0.1</v>
      </c>
      <c r="U18" s="224">
        <f t="shared" ref="U18:U29" si="8">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1"/>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hidden="1" outlineLevel="1" x14ac:dyDescent="0.4">
      <c r="A19" s="30" t="str">
        <f t="shared" si="5"/>
        <v>ENERGY_CERTIFICATE_EST_INPUTENCRYPTED_KEY</v>
      </c>
      <c r="B19" s="142" t="s">
        <v>26</v>
      </c>
      <c r="C19" s="138" t="s">
        <v>34</v>
      </c>
      <c r="D19" s="253" t="s">
        <v>40</v>
      </c>
      <c r="E19" s="254" t="s">
        <v>37</v>
      </c>
      <c r="F19" s="254"/>
      <c r="G19" s="253" t="s">
        <v>42</v>
      </c>
      <c r="H19" s="255" t="str">
        <f>VLOOKUP(A19,'2. Status Detalhe Campos'!$A$7:$G$574,7,0)</f>
        <v>6. Em implementação (re-especificação)</v>
      </c>
      <c r="I19" s="229" t="s">
        <v>38</v>
      </c>
      <c r="J19" s="153">
        <v>45624</v>
      </c>
      <c r="K19" s="229"/>
      <c r="L19" s="280">
        <f t="array" ref="L19">MIN(IF(V19:CH19&gt;0,$V$16:$CH$16))</f>
        <v>45628</v>
      </c>
      <c r="M19" s="279">
        <f t="array" ref="M19">MAX(IF(V19:CH19&gt;0,$V$16:$CH$16))</f>
        <v>45628</v>
      </c>
      <c r="N19" s="277">
        <f>VLOOKUP(H19,Auxiliar!$B$16:$E$24,4,0)</f>
        <v>0</v>
      </c>
      <c r="O19" s="277">
        <f t="shared" ref="O19:O52" ca="1" si="9">IF(TODAY()&lt;=L19,0,MIN((TODAY()-L19)/(M19-L19+1),100%))</f>
        <v>0</v>
      </c>
      <c r="P19" s="276">
        <f t="shared" ca="1" si="6"/>
        <v>0</v>
      </c>
      <c r="Q19" s="276"/>
      <c r="R19" s="230"/>
      <c r="S19" s="224">
        <v>0.6</v>
      </c>
      <c r="T19" s="224">
        <f t="shared" si="7"/>
        <v>0.1</v>
      </c>
      <c r="U19" s="224">
        <f t="shared" si="8"/>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1"/>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hidden="1" outlineLevel="1" x14ac:dyDescent="0.4">
      <c r="A20" s="30" t="str">
        <f t="shared" si="5"/>
        <v>ENERGY_CERTIFICATE_EST_INPUTPROPERTY_BRANCH_CODE</v>
      </c>
      <c r="B20" s="142" t="s">
        <v>26</v>
      </c>
      <c r="C20" s="138" t="s">
        <v>34</v>
      </c>
      <c r="D20" s="253" t="s">
        <v>40</v>
      </c>
      <c r="E20" s="254" t="s">
        <v>37</v>
      </c>
      <c r="F20" s="254"/>
      <c r="G20" s="253" t="s">
        <v>43</v>
      </c>
      <c r="H20" s="255" t="str">
        <f>VLOOKUP(A20,'2. Status Detalhe Campos'!$A$7:$G$574,7,0)</f>
        <v>6. Em implementação (re-especificação)</v>
      </c>
      <c r="I20" s="229" t="s">
        <v>38</v>
      </c>
      <c r="J20" s="153">
        <v>45624</v>
      </c>
      <c r="K20" s="229"/>
      <c r="L20" s="280">
        <f t="array" ref="L20">MIN(IF(V20:CH20&gt;0,$V$16:$CH$16))</f>
        <v>45628</v>
      </c>
      <c r="M20" s="279">
        <f t="array" ref="M20">MAX(IF(V20:CH20&gt;0,$V$16:$CH$16))</f>
        <v>45628</v>
      </c>
      <c r="N20" s="277">
        <f>VLOOKUP(H20,Auxiliar!$B$16:$E$24,4,0)</f>
        <v>0</v>
      </c>
      <c r="O20" s="277">
        <f t="shared" ca="1" si="9"/>
        <v>0</v>
      </c>
      <c r="P20" s="276">
        <f t="shared" ca="1" si="6"/>
        <v>0</v>
      </c>
      <c r="Q20" s="276"/>
      <c r="R20" s="230"/>
      <c r="S20" s="224">
        <v>0.6</v>
      </c>
      <c r="T20" s="224">
        <f t="shared" si="7"/>
        <v>0.1</v>
      </c>
      <c r="U20" s="224">
        <f t="shared" si="8"/>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1"/>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hidden="1" outlineLevel="1" x14ac:dyDescent="0.4">
      <c r="A21" s="30" t="str">
        <f t="shared" si="5"/>
        <v>ENERGY_CERTIFICATE_EST_INPUTPROPERTY_CONTRACT_ID</v>
      </c>
      <c r="B21" s="142" t="s">
        <v>26</v>
      </c>
      <c r="C21" s="138" t="s">
        <v>34</v>
      </c>
      <c r="D21" s="253" t="s">
        <v>40</v>
      </c>
      <c r="E21" s="254" t="s">
        <v>37</v>
      </c>
      <c r="F21" s="254"/>
      <c r="G21" s="253" t="s">
        <v>44</v>
      </c>
      <c r="H21" s="255" t="str">
        <f>VLOOKUP(A21,'2. Status Detalhe Campos'!$A$7:$G$574,7,0)</f>
        <v>6. Em implementação (re-especificação)</v>
      </c>
      <c r="I21" s="229" t="s">
        <v>38</v>
      </c>
      <c r="J21" s="153">
        <v>45624</v>
      </c>
      <c r="K21" s="229"/>
      <c r="L21" s="280">
        <f t="array" ref="L21">MIN(IF(V21:CH21&gt;0,$V$16:$CH$16))</f>
        <v>45628</v>
      </c>
      <c r="M21" s="279">
        <f t="array" ref="M21">MAX(IF(V21:CH21&gt;0,$V$16:$CH$16))</f>
        <v>45628</v>
      </c>
      <c r="N21" s="277">
        <f>VLOOKUP(H21,Auxiliar!$B$16:$E$24,4,0)</f>
        <v>0</v>
      </c>
      <c r="O21" s="277">
        <f t="shared" ca="1" si="9"/>
        <v>0</v>
      </c>
      <c r="P21" s="276">
        <f t="shared" ca="1" si="6"/>
        <v>0</v>
      </c>
      <c r="Q21" s="276"/>
      <c r="R21" s="230"/>
      <c r="S21" s="224">
        <v>0.6</v>
      </c>
      <c r="T21" s="224">
        <f t="shared" si="7"/>
        <v>0.1</v>
      </c>
      <c r="U21" s="224">
        <f t="shared" si="8"/>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1"/>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hidden="1" outlineLevel="1" x14ac:dyDescent="0.4">
      <c r="A22" s="30" t="str">
        <f t="shared" si="5"/>
        <v>ENERGY_CERTIFICATE_EST_INPUTPROPERTY_REFERENCE_CODE</v>
      </c>
      <c r="B22" s="142" t="s">
        <v>26</v>
      </c>
      <c r="C22" s="138" t="s">
        <v>34</v>
      </c>
      <c r="D22" s="253" t="s">
        <v>40</v>
      </c>
      <c r="E22" s="254" t="s">
        <v>37</v>
      </c>
      <c r="F22" s="254"/>
      <c r="G22" s="253" t="s">
        <v>45</v>
      </c>
      <c r="H22" s="255" t="str">
        <f>VLOOKUP(A22,'2. Status Detalhe Campos'!$A$7:$G$574,7,0)</f>
        <v>6. Em implementação (re-especificação)</v>
      </c>
      <c r="I22" s="229" t="s">
        <v>38</v>
      </c>
      <c r="J22" s="153">
        <v>45624</v>
      </c>
      <c r="K22" s="229"/>
      <c r="L22" s="280">
        <f t="array" ref="L22">MIN(IF(V22:CH22&gt;0,$V$16:$CH$16))</f>
        <v>45628</v>
      </c>
      <c r="M22" s="279">
        <f t="array" ref="M22">MAX(IF(V22:CH22&gt;0,$V$16:$CH$16))</f>
        <v>45628</v>
      </c>
      <c r="N22" s="277">
        <f>VLOOKUP(H22,Auxiliar!$B$16:$E$24,4,0)</f>
        <v>0</v>
      </c>
      <c r="O22" s="277">
        <f t="shared" ca="1" si="9"/>
        <v>0</v>
      </c>
      <c r="P22" s="276">
        <f t="shared" ca="1" si="6"/>
        <v>0</v>
      </c>
      <c r="Q22" s="276"/>
      <c r="R22" s="230"/>
      <c r="S22" s="224">
        <v>0.6</v>
      </c>
      <c r="T22" s="224">
        <f t="shared" si="7"/>
        <v>0.1</v>
      </c>
      <c r="U22" s="224">
        <f t="shared" si="8"/>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1"/>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hidden="1" outlineLevel="1" x14ac:dyDescent="0.4">
      <c r="A23" s="30" t="str">
        <f t="shared" si="5"/>
        <v>ENERGY_CERTIFICATE_EST_INPUTDATA_EXTRACTION_DATE</v>
      </c>
      <c r="B23" s="142" t="s">
        <v>26</v>
      </c>
      <c r="C23" s="138" t="s">
        <v>34</v>
      </c>
      <c r="D23" s="253" t="s">
        <v>40</v>
      </c>
      <c r="E23" s="254" t="s">
        <v>37</v>
      </c>
      <c r="F23" s="254"/>
      <c r="G23" s="253" t="s">
        <v>46</v>
      </c>
      <c r="H23" s="255" t="str">
        <f>VLOOKUP(A23,'2. Status Detalhe Campos'!$A$7:$G$574,7,0)</f>
        <v>6. Em implementação (re-especificação)</v>
      </c>
      <c r="I23" s="229" t="s">
        <v>38</v>
      </c>
      <c r="J23" s="153">
        <v>45624</v>
      </c>
      <c r="K23" s="229"/>
      <c r="L23" s="280">
        <f t="array" ref="L23">MIN(IF(V23:CH23&gt;0,$V$16:$CH$16))</f>
        <v>45628</v>
      </c>
      <c r="M23" s="279">
        <f t="array" ref="M23">MAX(IF(V23:CH23&gt;0,$V$16:$CH$16))</f>
        <v>45628</v>
      </c>
      <c r="N23" s="277">
        <f>VLOOKUP(H23,Auxiliar!$B$16:$E$24,4,0)</f>
        <v>0</v>
      </c>
      <c r="O23" s="277">
        <f t="shared" ca="1" si="9"/>
        <v>0</v>
      </c>
      <c r="P23" s="276">
        <f t="shared" ca="1" si="6"/>
        <v>0</v>
      </c>
      <c r="Q23" s="276"/>
      <c r="R23" s="230"/>
      <c r="S23" s="224">
        <v>0.6</v>
      </c>
      <c r="T23" s="224">
        <f t="shared" si="7"/>
        <v>0.1</v>
      </c>
      <c r="U23" s="224">
        <f t="shared" si="8"/>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1"/>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hidden="1" outlineLevel="1" x14ac:dyDescent="0.4">
      <c r="A24" s="30" t="str">
        <f t="shared" si="5"/>
        <v>ENERGY_CERTIFICATE_EST_INPUTEPC</v>
      </c>
      <c r="B24" s="142" t="s">
        <v>26</v>
      </c>
      <c r="C24" s="138" t="s">
        <v>34</v>
      </c>
      <c r="D24" s="253" t="s">
        <v>40</v>
      </c>
      <c r="E24" s="254" t="s">
        <v>37</v>
      </c>
      <c r="F24" s="254"/>
      <c r="G24" s="253" t="s">
        <v>47</v>
      </c>
      <c r="H24" s="255" t="str">
        <f>VLOOKUP(A24,'2. Status Detalhe Campos'!$A$7:$G$574,7,0)</f>
        <v>6. Em implementação (re-especificação)</v>
      </c>
      <c r="I24" s="229" t="s">
        <v>38</v>
      </c>
      <c r="J24" s="153">
        <v>45624</v>
      </c>
      <c r="K24" s="229"/>
      <c r="L24" s="280">
        <f t="array" ref="L24">MIN(IF(V24:CH24&gt;0,$V$16:$CH$16))</f>
        <v>45628</v>
      </c>
      <c r="M24" s="279">
        <f t="array" ref="M24">MAX(IF(V24:CH24&gt;0,$V$16:$CH$16))</f>
        <v>45628</v>
      </c>
      <c r="N24" s="277">
        <f>VLOOKUP(H24,Auxiliar!$B$16:$E$24,4,0)</f>
        <v>0</v>
      </c>
      <c r="O24" s="277">
        <f t="shared" ca="1" si="9"/>
        <v>0</v>
      </c>
      <c r="P24" s="276">
        <f t="shared" ca="1" si="6"/>
        <v>0</v>
      </c>
      <c r="Q24" s="276"/>
      <c r="R24" s="230"/>
      <c r="S24" s="224">
        <v>0.6</v>
      </c>
      <c r="T24" s="224">
        <f t="shared" si="7"/>
        <v>0.1</v>
      </c>
      <c r="U24" s="224">
        <f t="shared" si="8"/>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1"/>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hidden="1" outlineLevel="1" x14ac:dyDescent="0.4">
      <c r="A25" s="30" t="str">
        <f t="shared" si="5"/>
        <v>ENERGY_CERTIFICATE_EST_INPUTDATA_PROVIDER</v>
      </c>
      <c r="B25" s="142" t="s">
        <v>26</v>
      </c>
      <c r="C25" s="138" t="s">
        <v>34</v>
      </c>
      <c r="D25" s="253" t="s">
        <v>40</v>
      </c>
      <c r="E25" s="254" t="s">
        <v>37</v>
      </c>
      <c r="F25" s="254"/>
      <c r="G25" s="253" t="s">
        <v>48</v>
      </c>
      <c r="H25" s="255" t="str">
        <f>VLOOKUP(A25,'2. Status Detalhe Campos'!$A$7:$G$574,7,0)</f>
        <v>6. Em implementação (re-especificação)</v>
      </c>
      <c r="I25" s="229" t="s">
        <v>38</v>
      </c>
      <c r="J25" s="153">
        <v>45624</v>
      </c>
      <c r="K25" s="229"/>
      <c r="L25" s="280">
        <f t="array" ref="L25">MIN(IF(V25:CH25&gt;0,$V$16:$CH$16))</f>
        <v>45628</v>
      </c>
      <c r="M25" s="279">
        <f t="array" ref="M25">MAX(IF(V25:CH25&gt;0,$V$16:$CH$16))</f>
        <v>45628</v>
      </c>
      <c r="N25" s="277">
        <f>VLOOKUP(H25,Auxiliar!$B$16:$E$24,4,0)</f>
        <v>0</v>
      </c>
      <c r="O25" s="277">
        <f t="shared" ca="1" si="9"/>
        <v>0</v>
      </c>
      <c r="P25" s="276">
        <f t="shared" ca="1" si="6"/>
        <v>0</v>
      </c>
      <c r="Q25" s="276"/>
      <c r="R25" s="230"/>
      <c r="S25" s="224">
        <v>0.6</v>
      </c>
      <c r="T25" s="224">
        <f t="shared" si="7"/>
        <v>0.1</v>
      </c>
      <c r="U25" s="224">
        <f t="shared" si="8"/>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1"/>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hidden="1" outlineLevel="1" x14ac:dyDescent="0.4">
      <c r="A26" s="30" t="str">
        <f t="shared" si="5"/>
        <v>ENERGY_CERTIFICATE_EST_INPUTACTUAL_VALUE_IND</v>
      </c>
      <c r="B26" s="142" t="s">
        <v>26</v>
      </c>
      <c r="C26" s="138" t="s">
        <v>34</v>
      </c>
      <c r="D26" s="253" t="s">
        <v>40</v>
      </c>
      <c r="E26" s="254" t="s">
        <v>37</v>
      </c>
      <c r="F26" s="254"/>
      <c r="G26" s="253" t="s">
        <v>49</v>
      </c>
      <c r="H26" s="255" t="str">
        <f>VLOOKUP(A26,'2. Status Detalhe Campos'!$A$7:$G$574,7,0)</f>
        <v>6. Em implementação (re-especificação)</v>
      </c>
      <c r="I26" s="229" t="s">
        <v>38</v>
      </c>
      <c r="J26" s="153">
        <v>45624</v>
      </c>
      <c r="K26" s="229"/>
      <c r="L26" s="280">
        <f t="array" ref="L26">MIN(IF(V26:CH26&gt;0,$V$16:$CH$16))</f>
        <v>45628</v>
      </c>
      <c r="M26" s="279">
        <f t="array" ref="M26">MAX(IF(V26:CH26&gt;0,$V$16:$CH$16))</f>
        <v>45628</v>
      </c>
      <c r="N26" s="277">
        <f>VLOOKUP(H26,Auxiliar!$B$16:$E$24,4,0)</f>
        <v>0</v>
      </c>
      <c r="O26" s="277">
        <f t="shared" ca="1" si="9"/>
        <v>0</v>
      </c>
      <c r="P26" s="276">
        <f t="shared" ca="1" si="6"/>
        <v>0</v>
      </c>
      <c r="Q26" s="276"/>
      <c r="R26" s="230"/>
      <c r="S26" s="224">
        <v>0.6</v>
      </c>
      <c r="T26" s="224">
        <f t="shared" si="7"/>
        <v>0.1</v>
      </c>
      <c r="U26" s="224">
        <f t="shared" si="8"/>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1"/>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hidden="1" outlineLevel="1" x14ac:dyDescent="0.4">
      <c r="A27" s="30" t="str">
        <f t="shared" si="5"/>
        <v>ENERGY_CERTIFICATE_EST_INPUTQUALITY_SCORE</v>
      </c>
      <c r="B27" s="142" t="s">
        <v>26</v>
      </c>
      <c r="C27" s="138" t="s">
        <v>34</v>
      </c>
      <c r="D27" s="253" t="s">
        <v>40</v>
      </c>
      <c r="E27" s="254" t="s">
        <v>37</v>
      </c>
      <c r="F27" s="254"/>
      <c r="G27" s="253" t="s">
        <v>50</v>
      </c>
      <c r="H27" s="255" t="str">
        <f>VLOOKUP(A27,'2. Status Detalhe Campos'!$A$7:$G$574,7,0)</f>
        <v>6. Em implementação (re-especificação)</v>
      </c>
      <c r="I27" s="229" t="s">
        <v>38</v>
      </c>
      <c r="J27" s="153">
        <v>45624</v>
      </c>
      <c r="K27" s="229"/>
      <c r="L27" s="280">
        <f t="array" ref="L27">MIN(IF(V27:CH27&gt;0,$V$16:$CH$16))</f>
        <v>45628</v>
      </c>
      <c r="M27" s="279">
        <f t="array" ref="M27">MAX(IF(V27:CH27&gt;0,$V$16:$CH$16))</f>
        <v>45628</v>
      </c>
      <c r="N27" s="277">
        <f>VLOOKUP(H27,Auxiliar!$B$16:$E$24,4,0)</f>
        <v>0</v>
      </c>
      <c r="O27" s="277">
        <f t="shared" ca="1" si="9"/>
        <v>0</v>
      </c>
      <c r="P27" s="276">
        <f t="shared" ca="1" si="6"/>
        <v>0</v>
      </c>
      <c r="Q27" s="276"/>
      <c r="R27" s="230"/>
      <c r="S27" s="224">
        <v>0.6</v>
      </c>
      <c r="T27" s="224">
        <f t="shared" si="7"/>
        <v>0.1</v>
      </c>
      <c r="U27" s="224">
        <f t="shared" si="8"/>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1"/>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hidden="1" outlineLevel="1" x14ac:dyDescent="0.4">
      <c r="A28" s="30" t="str">
        <f t="shared" si="5"/>
        <v>ENERGY_CERTIFICATE_EST_INPUTENERGY_CONSUMPTION_VALUE_YEAR</v>
      </c>
      <c r="B28" s="142" t="s">
        <v>26</v>
      </c>
      <c r="C28" s="138" t="s">
        <v>34</v>
      </c>
      <c r="D28" s="253" t="s">
        <v>40</v>
      </c>
      <c r="E28" s="254" t="s">
        <v>37</v>
      </c>
      <c r="F28" s="254"/>
      <c r="G28" s="253" t="s">
        <v>51</v>
      </c>
      <c r="H28" s="255" t="str">
        <f>VLOOKUP(A28,'2. Status Detalhe Campos'!$A$7:$G$574,7,0)</f>
        <v>6. Em implementação (re-especificação)</v>
      </c>
      <c r="I28" s="229" t="s">
        <v>38</v>
      </c>
      <c r="J28" s="153">
        <v>45624</v>
      </c>
      <c r="K28" s="229"/>
      <c r="L28" s="280">
        <f t="array" ref="L28">MIN(IF(V28:CH28&gt;0,$V$16:$CH$16))</f>
        <v>45629</v>
      </c>
      <c r="M28" s="279">
        <f t="array" ref="M28">MAX(IF(V28:CH28&gt;0,$V$16:$CH$16))</f>
        <v>45629</v>
      </c>
      <c r="N28" s="277">
        <f>VLOOKUP(H28,Auxiliar!$B$16:$E$24,4,0)</f>
        <v>0</v>
      </c>
      <c r="O28" s="277">
        <f t="shared" ca="1" si="9"/>
        <v>0</v>
      </c>
      <c r="P28" s="276">
        <f t="shared" ca="1" si="6"/>
        <v>0</v>
      </c>
      <c r="Q28" s="276"/>
      <c r="R28" s="230"/>
      <c r="S28" s="224">
        <v>0.6</v>
      </c>
      <c r="T28" s="224">
        <f t="shared" si="7"/>
        <v>0.1</v>
      </c>
      <c r="U28" s="224">
        <f t="shared" si="8"/>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1"/>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hidden="1" outlineLevel="1" x14ac:dyDescent="0.4">
      <c r="A29" s="30" t="str">
        <f t="shared" si="5"/>
        <v>ENERGY_CERTIFICATE_EST_INPUTCARBON_EMISSION_VALUE_YEAR</v>
      </c>
      <c r="B29" s="142" t="s">
        <v>26</v>
      </c>
      <c r="C29" s="138" t="s">
        <v>34</v>
      </c>
      <c r="D29" s="253" t="s">
        <v>40</v>
      </c>
      <c r="E29" s="254" t="s">
        <v>37</v>
      </c>
      <c r="F29" s="254"/>
      <c r="G29" s="253" t="s">
        <v>52</v>
      </c>
      <c r="H29" s="255" t="str">
        <f>VLOOKUP(A29,'2. Status Detalhe Campos'!$A$7:$G$574,7,0)</f>
        <v>6. Em implementação (re-especificação)</v>
      </c>
      <c r="I29" s="229" t="s">
        <v>38</v>
      </c>
      <c r="J29" s="153">
        <v>45624</v>
      </c>
      <c r="K29" s="229"/>
      <c r="L29" s="280">
        <f t="array" ref="L29">MIN(IF(V29:CH29&gt;0,$V$16:$CH$16))</f>
        <v>45629</v>
      </c>
      <c r="M29" s="279">
        <f t="array" ref="M29">MAX(IF(V29:CH29&gt;0,$V$16:$CH$16))</f>
        <v>45629</v>
      </c>
      <c r="N29" s="277">
        <f>VLOOKUP(H29,Auxiliar!$B$16:$E$24,4,0)</f>
        <v>0</v>
      </c>
      <c r="O29" s="277">
        <f t="shared" ca="1" si="9"/>
        <v>0</v>
      </c>
      <c r="P29" s="276">
        <f t="shared" ca="1" si="6"/>
        <v>0</v>
      </c>
      <c r="Q29" s="276"/>
      <c r="R29" s="230"/>
      <c r="S29" s="224">
        <v>0.6</v>
      </c>
      <c r="T29" s="224">
        <f t="shared" si="7"/>
        <v>0.1</v>
      </c>
      <c r="U29" s="224">
        <f t="shared" si="8"/>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1"/>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ollapsed="1" x14ac:dyDescent="0.4">
      <c r="A30" s="30"/>
      <c r="B30" s="142" t="s">
        <v>26</v>
      </c>
      <c r="C30" s="138" t="s">
        <v>54</v>
      </c>
      <c r="D30" s="134"/>
      <c r="E30" s="260" t="s">
        <v>123</v>
      </c>
      <c r="F30" s="260" t="s">
        <v>1989</v>
      </c>
      <c r="G30" s="261">
        <f>COUNTA(G31:G52)</f>
        <v>22</v>
      </c>
      <c r="H30" s="136"/>
      <c r="I30" s="229" t="s">
        <v>38</v>
      </c>
      <c r="J30" s="258">
        <f>MIN(J31:J52)</f>
        <v>45593</v>
      </c>
      <c r="K30" s="259">
        <f>MIN(K31:K52)</f>
        <v>45593</v>
      </c>
      <c r="L30" s="281">
        <f>MIN(L31:L52)</f>
        <v>45594</v>
      </c>
      <c r="M30" s="281">
        <f>MAX(M31:M52)</f>
        <v>45608</v>
      </c>
      <c r="N30" s="282">
        <f>SUMPRODUCT(N31:N52,T31:T52)/SUM(T31:T52)</f>
        <v>0.25</v>
      </c>
      <c r="O30" s="282">
        <f ca="1">SUMPRODUCT(O31:O52,T31:T52)/SUM(T31:T52)</f>
        <v>1</v>
      </c>
      <c r="P30" s="276">
        <f t="shared" ca="1" si="6"/>
        <v>-0.75</v>
      </c>
      <c r="Q30" s="287" t="s">
        <v>2022</v>
      </c>
      <c r="R30" s="230"/>
      <c r="S30" s="224"/>
      <c r="T30" s="224"/>
      <c r="U30" s="224"/>
      <c r="V30" s="79"/>
      <c r="W30" s="79"/>
      <c r="X30" s="79"/>
      <c r="Y30" s="227"/>
      <c r="Z30" s="79"/>
      <c r="AA30" s="79"/>
      <c r="AB30" s="79"/>
      <c r="AC30" s="92"/>
      <c r="AD30" s="79"/>
      <c r="AE30" s="79"/>
      <c r="AF30" s="79"/>
      <c r="AG30" s="79"/>
      <c r="AH30" s="79"/>
      <c r="AI30" s="79"/>
      <c r="AJ30" s="79"/>
      <c r="AK30" s="79"/>
      <c r="AL30" s="79"/>
      <c r="AM30" s="266"/>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hidden="1" outlineLevel="1" x14ac:dyDescent="0.4">
      <c r="A31" s="30" t="str">
        <f t="shared" si="5"/>
        <v>PROPERTY_ENERGY_CERTIFICATELAND_REGISTRY_OFFICE_CODE</v>
      </c>
      <c r="B31" s="142" t="s">
        <v>26</v>
      </c>
      <c r="C31" s="138" t="s">
        <v>54</v>
      </c>
      <c r="D31" s="253" t="s">
        <v>40</v>
      </c>
      <c r="E31" s="254" t="s">
        <v>123</v>
      </c>
      <c r="F31" s="254"/>
      <c r="G31" s="253" t="s">
        <v>125</v>
      </c>
      <c r="H31" s="255" t="str">
        <f>VLOOKUP(A31,'2. Status Detalhe Campos'!$A$7:$G$574,7,0)</f>
        <v>4. Validação EF</v>
      </c>
      <c r="I31" s="229" t="s">
        <v>38</v>
      </c>
      <c r="J31" s="153">
        <v>45593</v>
      </c>
      <c r="K31" s="153">
        <v>45593</v>
      </c>
      <c r="L31" s="280">
        <f t="array" ref="L31">MIN(IF(V31:CH31&gt;0,$V$16:$CH$16))</f>
        <v>45594</v>
      </c>
      <c r="M31" s="279">
        <f t="array" ref="M31">MAX(IF(V31:CH31&gt;0,$V$16:$CH$16))</f>
        <v>45594</v>
      </c>
      <c r="N31" s="277">
        <f>VLOOKUP(H31,Auxiliar!$B$16:$E$24,4,0)</f>
        <v>0.25</v>
      </c>
      <c r="O31" s="277">
        <f t="shared" ca="1" si="9"/>
        <v>1</v>
      </c>
      <c r="P31" s="276">
        <f t="shared" ca="1" si="6"/>
        <v>-0.75</v>
      </c>
      <c r="Q31" s="276"/>
      <c r="R31" s="232" t="s">
        <v>1960</v>
      </c>
      <c r="S31" s="224">
        <v>4.0999999999999996</v>
      </c>
      <c r="T31" s="224">
        <f t="shared" si="7"/>
        <v>0.5</v>
      </c>
      <c r="U31" s="224">
        <f t="shared" ref="U31:U52" si="10">SUM(V31:CH31)-T31</f>
        <v>0</v>
      </c>
      <c r="V31" s="79"/>
      <c r="W31" s="79"/>
      <c r="X31" s="79"/>
      <c r="Y31" s="227"/>
      <c r="Z31" s="79">
        <v>0.5</v>
      </c>
      <c r="AA31" s="79"/>
      <c r="AB31" s="79"/>
      <c r="AC31" s="92"/>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hidden="1" outlineLevel="1" x14ac:dyDescent="0.4">
      <c r="A32" s="30" t="str">
        <f t="shared" si="5"/>
        <v>PROPERTY_ENERGY_CERTIFICATEPROPERTY_IDENTIFICATION_CODE</v>
      </c>
      <c r="B32" s="142" t="s">
        <v>26</v>
      </c>
      <c r="C32" s="138" t="s">
        <v>54</v>
      </c>
      <c r="D32" s="253" t="s">
        <v>40</v>
      </c>
      <c r="E32" s="254" t="s">
        <v>123</v>
      </c>
      <c r="F32" s="254"/>
      <c r="G32" s="253" t="s">
        <v>126</v>
      </c>
      <c r="H32" s="255" t="str">
        <f>VLOOKUP(A32,'2. Status Detalhe Campos'!$A$7:$G$574,7,0)</f>
        <v>4. Validação EF</v>
      </c>
      <c r="I32" s="229" t="s">
        <v>38</v>
      </c>
      <c r="J32" s="153">
        <v>45593</v>
      </c>
      <c r="K32" s="153">
        <v>45593</v>
      </c>
      <c r="L32" s="280">
        <f t="array" ref="L32">MIN(IF(V32:CH32&gt;0,$V$16:$CH$16))</f>
        <v>45595</v>
      </c>
      <c r="M32" s="279">
        <f t="array" ref="M32">MAX(IF(V32:CH32&gt;0,$V$16:$CH$16))</f>
        <v>45595</v>
      </c>
      <c r="N32" s="277">
        <f>VLOOKUP(H32,Auxiliar!$B$16:$E$24,4,0)</f>
        <v>0.25</v>
      </c>
      <c r="O32" s="277">
        <f t="shared" ca="1" si="9"/>
        <v>1</v>
      </c>
      <c r="P32" s="276">
        <f t="shared" ca="1" si="6"/>
        <v>-0.75</v>
      </c>
      <c r="Q32" s="276"/>
      <c r="R32" s="232" t="s">
        <v>1960</v>
      </c>
      <c r="S32" s="224">
        <v>4.0999999999999996</v>
      </c>
      <c r="T32" s="224">
        <f t="shared" si="7"/>
        <v>0.5</v>
      </c>
      <c r="U32" s="224">
        <f t="shared" si="10"/>
        <v>0</v>
      </c>
      <c r="V32" s="79"/>
      <c r="W32" s="79"/>
      <c r="X32" s="79"/>
      <c r="Y32" s="227"/>
      <c r="Z32" s="79"/>
      <c r="AA32" s="79">
        <v>0.5</v>
      </c>
      <c r="AB32" s="79"/>
      <c r="AC32" s="92"/>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hidden="1" outlineLevel="1" x14ac:dyDescent="0.4">
      <c r="A33" s="30" t="str">
        <f t="shared" si="5"/>
        <v>PROPERTY_ENERGY_CERTIFICATEENERGY_CERTIFICATION_SYSTEM_CODE</v>
      </c>
      <c r="B33" s="142" t="s">
        <v>26</v>
      </c>
      <c r="C33" s="138" t="s">
        <v>54</v>
      </c>
      <c r="D33" s="253" t="s">
        <v>40</v>
      </c>
      <c r="E33" s="254" t="s">
        <v>123</v>
      </c>
      <c r="F33" s="254"/>
      <c r="G33" s="253" t="s">
        <v>127</v>
      </c>
      <c r="H33" s="255" t="str">
        <f>VLOOKUP(A33,'2. Status Detalhe Campos'!$A$7:$G$574,7,0)</f>
        <v>4. Validação EF</v>
      </c>
      <c r="I33" s="229" t="s">
        <v>38</v>
      </c>
      <c r="J33" s="153">
        <v>45593</v>
      </c>
      <c r="K33" s="153">
        <v>45593</v>
      </c>
      <c r="L33" s="280">
        <f t="array" ref="L33">MIN(IF(V33:CH33&gt;0,$V$16:$CH$16))</f>
        <v>45595</v>
      </c>
      <c r="M33" s="279">
        <f t="array" ref="M33">MAX(IF(V33:CH33&gt;0,$V$16:$CH$16))</f>
        <v>45595</v>
      </c>
      <c r="N33" s="277">
        <f>VLOOKUP(H33,Auxiliar!$B$16:$E$24,4,0)</f>
        <v>0.25</v>
      </c>
      <c r="O33" s="277">
        <f t="shared" ca="1" si="9"/>
        <v>1</v>
      </c>
      <c r="P33" s="276">
        <f t="shared" ca="1" si="6"/>
        <v>-0.75</v>
      </c>
      <c r="Q33" s="276"/>
      <c r="R33" s="232" t="s">
        <v>1960</v>
      </c>
      <c r="S33" s="224">
        <v>4.0999999999999996</v>
      </c>
      <c r="T33" s="224">
        <f t="shared" si="7"/>
        <v>0.5</v>
      </c>
      <c r="U33" s="224">
        <f t="shared" si="10"/>
        <v>0</v>
      </c>
      <c r="V33" s="79"/>
      <c r="W33" s="79"/>
      <c r="X33" s="79"/>
      <c r="Y33" s="227"/>
      <c r="Z33" s="79"/>
      <c r="AA33" s="79">
        <v>0.5</v>
      </c>
      <c r="AB33" s="79"/>
      <c r="AC33" s="92"/>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hidden="1" outlineLevel="1" x14ac:dyDescent="0.4">
      <c r="A34" s="30" t="str">
        <f t="shared" si="5"/>
        <v>PROPERTY_ENERGY_CERTIFICATEEPC_ISSUING_DATE</v>
      </c>
      <c r="B34" s="142" t="s">
        <v>26</v>
      </c>
      <c r="C34" s="138" t="s">
        <v>54</v>
      </c>
      <c r="D34" s="253" t="s">
        <v>40</v>
      </c>
      <c r="E34" s="254" t="s">
        <v>123</v>
      </c>
      <c r="F34" s="254"/>
      <c r="G34" s="253" t="s">
        <v>128</v>
      </c>
      <c r="H34" s="255" t="str">
        <f>VLOOKUP(A34,'2. Status Detalhe Campos'!$A$7:$G$574,7,0)</f>
        <v>4. Validação EF</v>
      </c>
      <c r="I34" s="229" t="s">
        <v>38</v>
      </c>
      <c r="J34" s="153">
        <v>45593</v>
      </c>
      <c r="K34" s="153">
        <v>45593</v>
      </c>
      <c r="L34" s="280">
        <f t="array" ref="L34">MIN(IF(V34:CH34&gt;0,$V$16:$CH$16))</f>
        <v>45602</v>
      </c>
      <c r="M34" s="279">
        <f t="array" ref="M34">MAX(IF(V34:CH34&gt;0,$V$16:$CH$16))</f>
        <v>45602</v>
      </c>
      <c r="N34" s="277">
        <f>VLOOKUP(H34,Auxiliar!$B$16:$E$24,4,0)</f>
        <v>0.25</v>
      </c>
      <c r="O34" s="277">
        <f t="shared" ca="1" si="9"/>
        <v>1</v>
      </c>
      <c r="P34" s="276">
        <f t="shared" ca="1" si="6"/>
        <v>-0.75</v>
      </c>
      <c r="Q34" s="276"/>
      <c r="R34" s="232" t="s">
        <v>1960</v>
      </c>
      <c r="S34" s="224">
        <v>4.0999999999999996</v>
      </c>
      <c r="T34" s="224">
        <f t="shared" si="7"/>
        <v>0.5</v>
      </c>
      <c r="U34" s="224">
        <f t="shared" si="10"/>
        <v>0</v>
      </c>
      <c r="V34" s="79"/>
      <c r="W34" s="79"/>
      <c r="X34" s="79"/>
      <c r="Y34" s="227"/>
      <c r="Z34" s="79"/>
      <c r="AA34" s="79"/>
      <c r="AB34" s="79"/>
      <c r="AC34" s="92"/>
      <c r="AD34" s="79"/>
      <c r="AE34" s="79"/>
      <c r="AF34" s="79">
        <v>0.5</v>
      </c>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hidden="1" outlineLevel="1" x14ac:dyDescent="0.4">
      <c r="A35" s="30" t="str">
        <f t="shared" si="5"/>
        <v>PROPERTY_ENERGY_CERTIFICATEEPC_EXPIRATION_DATE</v>
      </c>
      <c r="B35" s="142" t="s">
        <v>26</v>
      </c>
      <c r="C35" s="138" t="s">
        <v>54</v>
      </c>
      <c r="D35" s="253" t="s">
        <v>40</v>
      </c>
      <c r="E35" s="254" t="s">
        <v>123</v>
      </c>
      <c r="F35" s="254"/>
      <c r="G35" s="253" t="s">
        <v>129</v>
      </c>
      <c r="H35" s="255" t="str">
        <f>VLOOKUP(A35,'2. Status Detalhe Campos'!$A$7:$G$574,7,0)</f>
        <v>4. Validação EF</v>
      </c>
      <c r="I35" s="229" t="s">
        <v>38</v>
      </c>
      <c r="J35" s="153">
        <v>45593</v>
      </c>
      <c r="K35" s="153">
        <v>45593</v>
      </c>
      <c r="L35" s="280">
        <f t="array" ref="L35">MIN(IF(V35:CH35&gt;0,$V$16:$CH$16))</f>
        <v>45602</v>
      </c>
      <c r="M35" s="279">
        <f t="array" ref="M35">MAX(IF(V35:CH35&gt;0,$V$16:$CH$16))</f>
        <v>45602</v>
      </c>
      <c r="N35" s="277">
        <f>VLOOKUP(H35,Auxiliar!$B$16:$E$24,4,0)</f>
        <v>0.25</v>
      </c>
      <c r="O35" s="277">
        <f t="shared" ca="1" si="9"/>
        <v>1</v>
      </c>
      <c r="P35" s="276">
        <f t="shared" ca="1" si="6"/>
        <v>-0.75</v>
      </c>
      <c r="Q35" s="276"/>
      <c r="R35" s="232" t="s">
        <v>1960</v>
      </c>
      <c r="S35" s="224">
        <v>4.0999999999999996</v>
      </c>
      <c r="T35" s="224">
        <f t="shared" si="7"/>
        <v>0.5</v>
      </c>
      <c r="U35" s="224">
        <f t="shared" si="10"/>
        <v>0</v>
      </c>
      <c r="V35" s="79"/>
      <c r="W35" s="79"/>
      <c r="X35" s="79"/>
      <c r="Y35" s="227"/>
      <c r="Z35" s="79"/>
      <c r="AA35" s="79"/>
      <c r="AB35" s="79"/>
      <c r="AC35" s="92"/>
      <c r="AD35" s="79"/>
      <c r="AE35" s="79"/>
      <c r="AF35" s="79">
        <v>0.5</v>
      </c>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hidden="1" outlineLevel="1" x14ac:dyDescent="0.4">
      <c r="A36" s="30" t="str">
        <f t="shared" si="5"/>
        <v>PROPERTY_ENERGY_CERTIFICATEEPC</v>
      </c>
      <c r="B36" s="142" t="s">
        <v>26</v>
      </c>
      <c r="C36" s="138" t="s">
        <v>54</v>
      </c>
      <c r="D36" s="253" t="s">
        <v>40</v>
      </c>
      <c r="E36" s="254" t="s">
        <v>123</v>
      </c>
      <c r="F36" s="254"/>
      <c r="G36" s="253" t="s">
        <v>47</v>
      </c>
      <c r="H36" s="255" t="str">
        <f>VLOOKUP(A36,'2. Status Detalhe Campos'!$A$7:$G$574,7,0)</f>
        <v>4. Validação EF</v>
      </c>
      <c r="I36" s="229" t="s">
        <v>38</v>
      </c>
      <c r="J36" s="153">
        <v>45593</v>
      </c>
      <c r="K36" s="153">
        <v>45593</v>
      </c>
      <c r="L36" s="280">
        <f t="array" ref="L36">MIN(IF(V36:CH36&gt;0,$V$16:$CH$16))</f>
        <v>45602</v>
      </c>
      <c r="M36" s="279">
        <f t="array" ref="M36">MAX(IF(V36:CH36&gt;0,$V$16:$CH$16))</f>
        <v>45602</v>
      </c>
      <c r="N36" s="277">
        <f>VLOOKUP(H36,Auxiliar!$B$16:$E$24,4,0)</f>
        <v>0.25</v>
      </c>
      <c r="O36" s="277">
        <f t="shared" ca="1" si="9"/>
        <v>1</v>
      </c>
      <c r="P36" s="276">
        <f t="shared" ca="1" si="6"/>
        <v>-0.75</v>
      </c>
      <c r="Q36" s="276"/>
      <c r="R36" s="232" t="s">
        <v>1960</v>
      </c>
      <c r="S36" s="224">
        <v>4.0999999999999996</v>
      </c>
      <c r="T36" s="224">
        <f t="shared" si="7"/>
        <v>0.5</v>
      </c>
      <c r="U36" s="224">
        <f t="shared" si="10"/>
        <v>0</v>
      </c>
      <c r="V36" s="79"/>
      <c r="W36" s="79"/>
      <c r="X36" s="79"/>
      <c r="Y36" s="227"/>
      <c r="Z36" s="79"/>
      <c r="AA36" s="79"/>
      <c r="AB36" s="79"/>
      <c r="AC36" s="92"/>
      <c r="AD36" s="79"/>
      <c r="AE36" s="79"/>
      <c r="AF36" s="79">
        <v>0.5</v>
      </c>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hidden="1" outlineLevel="1" x14ac:dyDescent="0.4">
      <c r="A37" s="30" t="str">
        <f t="shared" si="5"/>
        <v>PROPERTY_ENERGY_CERTIFICATEENERGY_EFFICIENCY_IND</v>
      </c>
      <c r="B37" s="142" t="s">
        <v>26</v>
      </c>
      <c r="C37" s="138" t="s">
        <v>54</v>
      </c>
      <c r="D37" s="253" t="s">
        <v>40</v>
      </c>
      <c r="E37" s="254" t="s">
        <v>123</v>
      </c>
      <c r="F37" s="254"/>
      <c r="G37" s="253" t="s">
        <v>132</v>
      </c>
      <c r="H37" s="255" t="str">
        <f>VLOOKUP(A37,'2. Status Detalhe Campos'!$A$7:$G$574,7,0)</f>
        <v>4. Validação EF</v>
      </c>
      <c r="I37" s="229" t="s">
        <v>38</v>
      </c>
      <c r="J37" s="153">
        <v>45593</v>
      </c>
      <c r="K37" s="153">
        <v>45593</v>
      </c>
      <c r="L37" s="280">
        <f t="array" ref="L37">MIN(IF(V37:CH37&gt;0,$V$16:$CH$16))</f>
        <v>45602</v>
      </c>
      <c r="M37" s="279">
        <f t="array" ref="M37">MAX(IF(V37:CH37&gt;0,$V$16:$CH$16))</f>
        <v>45602</v>
      </c>
      <c r="N37" s="277">
        <f>VLOOKUP(H37,Auxiliar!$B$16:$E$24,4,0)</f>
        <v>0.25</v>
      </c>
      <c r="O37" s="277">
        <f t="shared" ca="1" si="9"/>
        <v>1</v>
      </c>
      <c r="P37" s="276">
        <f t="shared" ca="1" si="6"/>
        <v>-0.75</v>
      </c>
      <c r="Q37" s="276"/>
      <c r="R37" s="232" t="s">
        <v>1960</v>
      </c>
      <c r="S37" s="224">
        <v>4.0999999999999996</v>
      </c>
      <c r="T37" s="224">
        <f t="shared" si="7"/>
        <v>0.5</v>
      </c>
      <c r="U37" s="224">
        <f t="shared" si="10"/>
        <v>0</v>
      </c>
      <c r="V37" s="79"/>
      <c r="W37" s="79"/>
      <c r="X37" s="79"/>
      <c r="Y37" s="227"/>
      <c r="Z37" s="79"/>
      <c r="AA37" s="79"/>
      <c r="AB37" s="79"/>
      <c r="AC37" s="92"/>
      <c r="AD37" s="79"/>
      <c r="AE37" s="79"/>
      <c r="AF37" s="79">
        <v>0.5</v>
      </c>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hidden="1" outlineLevel="1" x14ac:dyDescent="0.4">
      <c r="A38" s="30" t="str">
        <f t="shared" si="5"/>
        <v>PROPERTY_ENERGY_CERTIFICATENZEB_IND</v>
      </c>
      <c r="B38" s="142" t="s">
        <v>26</v>
      </c>
      <c r="C38" s="138" t="s">
        <v>54</v>
      </c>
      <c r="D38" s="253" t="s">
        <v>40</v>
      </c>
      <c r="E38" s="254" t="s">
        <v>123</v>
      </c>
      <c r="F38" s="254"/>
      <c r="G38" s="253" t="s">
        <v>134</v>
      </c>
      <c r="H38" s="255" t="str">
        <f>VLOOKUP(A38,'2. Status Detalhe Campos'!$A$7:$G$574,7,0)</f>
        <v>4. Validação EF</v>
      </c>
      <c r="I38" s="229" t="s">
        <v>38</v>
      </c>
      <c r="J38" s="153">
        <v>45593</v>
      </c>
      <c r="K38" s="153">
        <v>45593</v>
      </c>
      <c r="L38" s="280">
        <f t="array" ref="L38">MIN(IF(V38:CH38&gt;0,$V$16:$CH$16))</f>
        <v>45603</v>
      </c>
      <c r="M38" s="279">
        <f t="array" ref="M38">MAX(IF(V38:CH38&gt;0,$V$16:$CH$16))</f>
        <v>45603</v>
      </c>
      <c r="N38" s="277">
        <f>VLOOKUP(H38,Auxiliar!$B$16:$E$24,4,0)</f>
        <v>0.25</v>
      </c>
      <c r="O38" s="277">
        <f t="shared" ca="1" si="9"/>
        <v>1</v>
      </c>
      <c r="P38" s="276">
        <f t="shared" ca="1" si="6"/>
        <v>-0.75</v>
      </c>
      <c r="Q38" s="276"/>
      <c r="R38" s="232" t="s">
        <v>1960</v>
      </c>
      <c r="S38" s="224">
        <v>4.0999999999999996</v>
      </c>
      <c r="T38" s="224">
        <f t="shared" si="7"/>
        <v>0.5</v>
      </c>
      <c r="U38" s="224">
        <f t="shared" si="10"/>
        <v>0</v>
      </c>
      <c r="V38" s="79"/>
      <c r="W38" s="79"/>
      <c r="X38" s="79"/>
      <c r="Y38" s="227"/>
      <c r="Z38" s="79"/>
      <c r="AA38" s="79"/>
      <c r="AB38" s="79"/>
      <c r="AC38" s="92"/>
      <c r="AD38" s="79"/>
      <c r="AE38" s="79"/>
      <c r="AF38" s="79"/>
      <c r="AG38" s="79">
        <v>0.5</v>
      </c>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hidden="1" outlineLevel="1" x14ac:dyDescent="0.4">
      <c r="A39" s="30" t="str">
        <f t="shared" si="5"/>
        <v>PROPERTY_ENERGY_CERTIFICATEACTUAL_VALUE_IND</v>
      </c>
      <c r="B39" s="142" t="s">
        <v>26</v>
      </c>
      <c r="C39" s="138" t="s">
        <v>54</v>
      </c>
      <c r="D39" s="253" t="s">
        <v>40</v>
      </c>
      <c r="E39" s="254" t="s">
        <v>123</v>
      </c>
      <c r="F39" s="254"/>
      <c r="G39" s="253" t="s">
        <v>49</v>
      </c>
      <c r="H39" s="255" t="str">
        <f>VLOOKUP(A39,'2. Status Detalhe Campos'!$A$7:$G$574,7,0)</f>
        <v>4. Validação EF</v>
      </c>
      <c r="I39" s="229" t="s">
        <v>38</v>
      </c>
      <c r="J39" s="153">
        <v>45593</v>
      </c>
      <c r="K39" s="153">
        <v>45593</v>
      </c>
      <c r="L39" s="280">
        <f t="array" ref="L39">MIN(IF(V39:CH39&gt;0,$V$16:$CH$16))</f>
        <v>45603</v>
      </c>
      <c r="M39" s="279">
        <f t="array" ref="M39">MAX(IF(V39:CH39&gt;0,$V$16:$CH$16))</f>
        <v>45603</v>
      </c>
      <c r="N39" s="277">
        <f>VLOOKUP(H39,Auxiliar!$B$16:$E$24,4,0)</f>
        <v>0.25</v>
      </c>
      <c r="O39" s="277">
        <f t="shared" ca="1" si="9"/>
        <v>1</v>
      </c>
      <c r="P39" s="276">
        <f t="shared" ca="1" si="6"/>
        <v>-0.75</v>
      </c>
      <c r="Q39" s="276"/>
      <c r="R39" s="232" t="s">
        <v>1960</v>
      </c>
      <c r="S39" s="224">
        <v>4.0999999999999996</v>
      </c>
      <c r="T39" s="224">
        <f t="shared" si="7"/>
        <v>0.5</v>
      </c>
      <c r="U39" s="224">
        <f t="shared" si="10"/>
        <v>0</v>
      </c>
      <c r="V39" s="79"/>
      <c r="W39" s="79"/>
      <c r="X39" s="79"/>
      <c r="Y39" s="227"/>
      <c r="Z39" s="79"/>
      <c r="AA39" s="79"/>
      <c r="AB39" s="79"/>
      <c r="AC39" s="92"/>
      <c r="AD39" s="79"/>
      <c r="AE39" s="79"/>
      <c r="AF39" s="79"/>
      <c r="AG39" s="79">
        <v>0.5</v>
      </c>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hidden="1" outlineLevel="1" x14ac:dyDescent="0.4">
      <c r="A40" s="30" t="str">
        <f t="shared" si="5"/>
        <v>PROPERTY_ENERGY_CERTIFICATESOURCE_CODE</v>
      </c>
      <c r="B40" s="142" t="s">
        <v>26</v>
      </c>
      <c r="C40" s="138" t="s">
        <v>54</v>
      </c>
      <c r="D40" s="253" t="s">
        <v>40</v>
      </c>
      <c r="E40" s="254" t="s">
        <v>123</v>
      </c>
      <c r="F40" s="254"/>
      <c r="G40" s="253" t="s">
        <v>87</v>
      </c>
      <c r="H40" s="255" t="str">
        <f>VLOOKUP(A40,'2. Status Detalhe Campos'!$A$7:$G$574,7,0)</f>
        <v>4. Validação EF</v>
      </c>
      <c r="I40" s="229" t="s">
        <v>38</v>
      </c>
      <c r="J40" s="153">
        <v>45593</v>
      </c>
      <c r="K40" s="153">
        <v>45601</v>
      </c>
      <c r="L40" s="280">
        <f t="array" ref="L40">MIN(IF(V40:CH40&gt;0,$V$16:$CH$16))</f>
        <v>45603</v>
      </c>
      <c r="M40" s="279">
        <f t="array" ref="M40">MAX(IF(V40:CH40&gt;0,$V$16:$CH$16))</f>
        <v>45603</v>
      </c>
      <c r="N40" s="277">
        <f>VLOOKUP(H40,Auxiliar!$B$16:$E$24,4,0)</f>
        <v>0.25</v>
      </c>
      <c r="O40" s="277">
        <f t="shared" ca="1" si="9"/>
        <v>1</v>
      </c>
      <c r="P40" s="276">
        <f t="shared" ca="1" si="6"/>
        <v>-0.75</v>
      </c>
      <c r="Q40" s="276"/>
      <c r="R40" s="232" t="s">
        <v>1960</v>
      </c>
      <c r="S40" s="224">
        <v>4.0999999999999996</v>
      </c>
      <c r="T40" s="224">
        <f t="shared" si="7"/>
        <v>0.5</v>
      </c>
      <c r="U40" s="224">
        <f t="shared" si="10"/>
        <v>0</v>
      </c>
      <c r="V40" s="79"/>
      <c r="W40" s="79"/>
      <c r="X40" s="79"/>
      <c r="Y40" s="231"/>
      <c r="Z40" s="79"/>
      <c r="AA40" s="79"/>
      <c r="AB40" s="79"/>
      <c r="AC40" s="92"/>
      <c r="AD40" s="79"/>
      <c r="AE40" s="227"/>
      <c r="AF40" s="79"/>
      <c r="AG40" s="79">
        <v>0.5</v>
      </c>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hidden="1" outlineLevel="1" x14ac:dyDescent="0.4">
      <c r="A41" s="30" t="str">
        <f t="shared" si="5"/>
        <v>PROPERTY_ENERGY_CERTIFICATECERTIFICATE_TYPE</v>
      </c>
      <c r="B41" s="142" t="s">
        <v>26</v>
      </c>
      <c r="C41" s="138" t="s">
        <v>54</v>
      </c>
      <c r="D41" s="253" t="s">
        <v>40</v>
      </c>
      <c r="E41" s="254" t="s">
        <v>123</v>
      </c>
      <c r="F41" s="254"/>
      <c r="G41" s="253" t="s">
        <v>136</v>
      </c>
      <c r="H41" s="255" t="str">
        <f>VLOOKUP(A41,'2. Status Detalhe Campos'!$A$7:$G$574,7,0)</f>
        <v>4. Validação EF</v>
      </c>
      <c r="I41" s="229" t="s">
        <v>38</v>
      </c>
      <c r="J41" s="153">
        <v>45593</v>
      </c>
      <c r="K41" s="153">
        <v>45593</v>
      </c>
      <c r="L41" s="280">
        <f t="array" ref="L41">MIN(IF(V41:CH41&gt;0,$V$16:$CH$16))</f>
        <v>45603</v>
      </c>
      <c r="M41" s="279">
        <f t="array" ref="M41">MAX(IF(V41:CH41&gt;0,$V$16:$CH$16))</f>
        <v>45603</v>
      </c>
      <c r="N41" s="277">
        <f>VLOOKUP(H41,Auxiliar!$B$16:$E$24,4,0)</f>
        <v>0.25</v>
      </c>
      <c r="O41" s="277">
        <f t="shared" ca="1" si="9"/>
        <v>1</v>
      </c>
      <c r="P41" s="276">
        <f t="shared" ca="1" si="6"/>
        <v>-0.75</v>
      </c>
      <c r="Q41" s="276"/>
      <c r="R41" s="232" t="s">
        <v>1960</v>
      </c>
      <c r="S41" s="224">
        <v>4.0999999999999996</v>
      </c>
      <c r="T41" s="224">
        <f t="shared" si="7"/>
        <v>0.5</v>
      </c>
      <c r="U41" s="224">
        <f t="shared" si="10"/>
        <v>0</v>
      </c>
      <c r="V41" s="79"/>
      <c r="W41" s="79"/>
      <c r="X41" s="79"/>
      <c r="Y41" s="227"/>
      <c r="Z41" s="79"/>
      <c r="AA41" s="79"/>
      <c r="AB41" s="79"/>
      <c r="AC41" s="92"/>
      <c r="AD41" s="79"/>
      <c r="AE41" s="79"/>
      <c r="AF41" s="79"/>
      <c r="AG41" s="79">
        <v>0.5</v>
      </c>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hidden="1" outlineLevel="1" x14ac:dyDescent="0.4">
      <c r="A42" s="30" t="str">
        <f t="shared" si="5"/>
        <v>PROPERTY_ENERGY_CERTIFICATEENERGY_CONSUMPTION_VALUE_YEAR</v>
      </c>
      <c r="B42" s="142" t="s">
        <v>26</v>
      </c>
      <c r="C42" s="138" t="s">
        <v>54</v>
      </c>
      <c r="D42" s="253" t="s">
        <v>40</v>
      </c>
      <c r="E42" s="254" t="s">
        <v>123</v>
      </c>
      <c r="F42" s="254"/>
      <c r="G42" s="253" t="s">
        <v>51</v>
      </c>
      <c r="H42" s="255" t="str">
        <f>VLOOKUP(A42,'2. Status Detalhe Campos'!$A$7:$G$574,7,0)</f>
        <v>4. Validação EF</v>
      </c>
      <c r="I42" s="229" t="s">
        <v>38</v>
      </c>
      <c r="J42" s="153">
        <v>45593</v>
      </c>
      <c r="K42" s="153">
        <v>45593</v>
      </c>
      <c r="L42" s="280">
        <f t="array" ref="L42">MIN(IF(V42:CH42&gt;0,$V$16:$CH$16))</f>
        <v>45604</v>
      </c>
      <c r="M42" s="279">
        <f t="array" ref="M42">MAX(IF(V42:CH42&gt;0,$V$16:$CH$16))</f>
        <v>45604</v>
      </c>
      <c r="N42" s="277">
        <f>VLOOKUP(H42,Auxiliar!$B$16:$E$24,4,0)</f>
        <v>0.25</v>
      </c>
      <c r="O42" s="277">
        <f t="shared" ca="1" si="9"/>
        <v>1</v>
      </c>
      <c r="P42" s="276">
        <f t="shared" ca="1" si="6"/>
        <v>-0.75</v>
      </c>
      <c r="Q42" s="276"/>
      <c r="R42" s="232" t="s">
        <v>1960</v>
      </c>
      <c r="S42" s="224">
        <v>4.0999999999999996</v>
      </c>
      <c r="T42" s="224">
        <f t="shared" si="7"/>
        <v>0.5</v>
      </c>
      <c r="U42" s="224">
        <f t="shared" si="10"/>
        <v>0</v>
      </c>
      <c r="V42" s="79"/>
      <c r="W42" s="79"/>
      <c r="X42" s="79"/>
      <c r="Y42" s="227"/>
      <c r="Z42" s="79"/>
      <c r="AA42" s="79"/>
      <c r="AB42" s="79"/>
      <c r="AC42" s="92"/>
      <c r="AD42" s="79"/>
      <c r="AE42" s="79"/>
      <c r="AF42" s="79"/>
      <c r="AG42" s="79"/>
      <c r="AH42" s="79">
        <v>0.5</v>
      </c>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hidden="1" outlineLevel="1" x14ac:dyDescent="0.4">
      <c r="A43" s="30" t="str">
        <f t="shared" si="5"/>
        <v>PROPERTY_ENERGY_CERTIFICATECARBON_EMISSION_VALUE_YEAR</v>
      </c>
      <c r="B43" s="142" t="s">
        <v>26</v>
      </c>
      <c r="C43" s="138" t="s">
        <v>54</v>
      </c>
      <c r="D43" s="253" t="s">
        <v>40</v>
      </c>
      <c r="E43" s="254" t="s">
        <v>123</v>
      </c>
      <c r="F43" s="254"/>
      <c r="G43" s="253" t="s">
        <v>52</v>
      </c>
      <c r="H43" s="255" t="str">
        <f>VLOOKUP(A43,'2. Status Detalhe Campos'!$A$7:$G$574,7,0)</f>
        <v>4. Validação EF</v>
      </c>
      <c r="I43" s="229" t="s">
        <v>38</v>
      </c>
      <c r="J43" s="153">
        <v>45593</v>
      </c>
      <c r="K43" s="153">
        <v>45593</v>
      </c>
      <c r="L43" s="280">
        <f t="array" ref="L43">MIN(IF(V43:CH43&gt;0,$V$16:$CH$16))</f>
        <v>45604</v>
      </c>
      <c r="M43" s="279">
        <f t="array" ref="M43">MAX(IF(V43:CH43&gt;0,$V$16:$CH$16))</f>
        <v>45604</v>
      </c>
      <c r="N43" s="277">
        <f>VLOOKUP(H43,Auxiliar!$B$16:$E$24,4,0)</f>
        <v>0.25</v>
      </c>
      <c r="O43" s="277">
        <f t="shared" ca="1" si="9"/>
        <v>1</v>
      </c>
      <c r="P43" s="276">
        <f t="shared" ca="1" si="6"/>
        <v>-0.75</v>
      </c>
      <c r="Q43" s="276"/>
      <c r="R43" s="232" t="s">
        <v>1960</v>
      </c>
      <c r="S43" s="224">
        <v>4.0999999999999996</v>
      </c>
      <c r="T43" s="224">
        <f t="shared" si="7"/>
        <v>0.5</v>
      </c>
      <c r="U43" s="224">
        <f t="shared" si="10"/>
        <v>0</v>
      </c>
      <c r="V43" s="79"/>
      <c r="W43" s="79"/>
      <c r="X43" s="79"/>
      <c r="Y43" s="227"/>
      <c r="Z43" s="79"/>
      <c r="AA43" s="79"/>
      <c r="AB43" s="79"/>
      <c r="AC43" s="92"/>
      <c r="AD43" s="79"/>
      <c r="AE43" s="79"/>
      <c r="AF43" s="79"/>
      <c r="AG43" s="79"/>
      <c r="AH43" s="79">
        <v>0.5</v>
      </c>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hidden="1" outlineLevel="1" x14ac:dyDescent="0.4">
      <c r="A44" s="30" t="str">
        <f t="shared" si="5"/>
        <v>PROPERTY_ENERGY_CERTIFICATEREN_ENERGY_PRODUCED_VALUE</v>
      </c>
      <c r="B44" s="142" t="s">
        <v>26</v>
      </c>
      <c r="C44" s="138" t="s">
        <v>54</v>
      </c>
      <c r="D44" s="253" t="s">
        <v>40</v>
      </c>
      <c r="E44" s="254" t="s">
        <v>123</v>
      </c>
      <c r="F44" s="254"/>
      <c r="G44" s="253" t="s">
        <v>160</v>
      </c>
      <c r="H44" s="255" t="str">
        <f>VLOOKUP(A44,'2. Status Detalhe Campos'!$A$7:$G$574,7,0)</f>
        <v>4. Validação EF</v>
      </c>
      <c r="I44" s="229" t="s">
        <v>38</v>
      </c>
      <c r="J44" s="153">
        <v>45593</v>
      </c>
      <c r="K44" s="153">
        <v>45593</v>
      </c>
      <c r="L44" s="280">
        <f t="array" ref="L44">MIN(IF(V44:CH44&gt;0,$V$16:$CH$16))</f>
        <v>45604</v>
      </c>
      <c r="M44" s="279">
        <f t="array" ref="M44">MAX(IF(V44:CH44&gt;0,$V$16:$CH$16))</f>
        <v>45604</v>
      </c>
      <c r="N44" s="277">
        <f>VLOOKUP(H44,Auxiliar!$B$16:$E$24,4,0)</f>
        <v>0.25</v>
      </c>
      <c r="O44" s="277">
        <f t="shared" ca="1" si="9"/>
        <v>1</v>
      </c>
      <c r="P44" s="276">
        <f t="shared" ca="1" si="6"/>
        <v>-0.75</v>
      </c>
      <c r="Q44" s="276"/>
      <c r="R44" s="232" t="s">
        <v>1960</v>
      </c>
      <c r="S44" s="224">
        <v>4.0999999999999996</v>
      </c>
      <c r="T44" s="224">
        <f t="shared" si="7"/>
        <v>0.5</v>
      </c>
      <c r="U44" s="224">
        <f t="shared" si="10"/>
        <v>0</v>
      </c>
      <c r="V44" s="79"/>
      <c r="W44" s="79"/>
      <c r="X44" s="79"/>
      <c r="Y44" s="227"/>
      <c r="Z44" s="79"/>
      <c r="AA44" s="79"/>
      <c r="AB44" s="79"/>
      <c r="AC44" s="92"/>
      <c r="AD44" s="79"/>
      <c r="AE44" s="79"/>
      <c r="AF44" s="79"/>
      <c r="AG44" s="79"/>
      <c r="AH44" s="79">
        <v>0.5</v>
      </c>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hidden="1" outlineLevel="1" x14ac:dyDescent="0.4">
      <c r="A45" s="30" t="str">
        <f t="shared" si="5"/>
        <v>PROPERTY_ENERGY_CERTIFICATEPRIMARY_ENERGY_REQ_VALUE</v>
      </c>
      <c r="B45" s="142" t="s">
        <v>26</v>
      </c>
      <c r="C45" s="138" t="s">
        <v>54</v>
      </c>
      <c r="D45" s="253" t="s">
        <v>40</v>
      </c>
      <c r="E45" s="254" t="s">
        <v>123</v>
      </c>
      <c r="F45" s="254"/>
      <c r="G45" s="253" t="s">
        <v>164</v>
      </c>
      <c r="H45" s="255" t="str">
        <f>VLOOKUP(A45,'2. Status Detalhe Campos'!$A$7:$G$574,7,0)</f>
        <v>4. Validação EF</v>
      </c>
      <c r="I45" s="229" t="s">
        <v>38</v>
      </c>
      <c r="J45" s="153">
        <v>45593</v>
      </c>
      <c r="K45" s="153">
        <v>45593</v>
      </c>
      <c r="L45" s="280">
        <f t="array" ref="L45">MIN(IF(V45:CH45&gt;0,$V$16:$CH$16))</f>
        <v>45604</v>
      </c>
      <c r="M45" s="279">
        <f t="array" ref="M45">MAX(IF(V45:CH45&gt;0,$V$16:$CH$16))</f>
        <v>45604</v>
      </c>
      <c r="N45" s="277">
        <f>VLOOKUP(H45,Auxiliar!$B$16:$E$24,4,0)</f>
        <v>0.25</v>
      </c>
      <c r="O45" s="277">
        <f t="shared" ca="1" si="9"/>
        <v>1</v>
      </c>
      <c r="P45" s="276">
        <f t="shared" ca="1" si="6"/>
        <v>-0.75</v>
      </c>
      <c r="Q45" s="276"/>
      <c r="R45" s="232" t="s">
        <v>1960</v>
      </c>
      <c r="S45" s="224">
        <v>4.0999999999999996</v>
      </c>
      <c r="T45" s="224">
        <f t="shared" si="7"/>
        <v>0.5</v>
      </c>
      <c r="U45" s="224">
        <f t="shared" si="10"/>
        <v>0</v>
      </c>
      <c r="V45" s="79"/>
      <c r="W45" s="79"/>
      <c r="X45" s="79"/>
      <c r="Y45" s="227"/>
      <c r="Z45" s="79"/>
      <c r="AA45" s="79"/>
      <c r="AB45" s="79"/>
      <c r="AC45" s="92"/>
      <c r="AD45" s="79"/>
      <c r="AE45" s="79"/>
      <c r="AF45" s="79"/>
      <c r="AG45" s="79"/>
      <c r="AH45" s="79">
        <v>0.5</v>
      </c>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hidden="1" outlineLevel="1" x14ac:dyDescent="0.4">
      <c r="A46" s="30" t="str">
        <f t="shared" si="5"/>
        <v>PROPERTY_ENERGY_CERTIFICATENET_FLOOR_AREA</v>
      </c>
      <c r="B46" s="142" t="s">
        <v>26</v>
      </c>
      <c r="C46" s="138" t="s">
        <v>54</v>
      </c>
      <c r="D46" s="253" t="s">
        <v>40</v>
      </c>
      <c r="E46" s="254" t="s">
        <v>123</v>
      </c>
      <c r="F46" s="254"/>
      <c r="G46" s="253" t="s">
        <v>97</v>
      </c>
      <c r="H46" s="255" t="str">
        <f>VLOOKUP(A46,'2. Status Detalhe Campos'!$A$7:$G$574,7,0)</f>
        <v>4. Validação EF</v>
      </c>
      <c r="I46" s="229" t="s">
        <v>38</v>
      </c>
      <c r="J46" s="153">
        <v>45593</v>
      </c>
      <c r="K46" s="153">
        <v>45593</v>
      </c>
      <c r="L46" s="280">
        <f t="array" ref="L46">MIN(IF(V46:CH46&gt;0,$V$16:$CH$16))</f>
        <v>45607</v>
      </c>
      <c r="M46" s="279">
        <f t="array" ref="M46">MAX(IF(V46:CH46&gt;0,$V$16:$CH$16))</f>
        <v>45607</v>
      </c>
      <c r="N46" s="277">
        <f>VLOOKUP(H46,Auxiliar!$B$16:$E$24,4,0)</f>
        <v>0.25</v>
      </c>
      <c r="O46" s="277">
        <f t="shared" ca="1" si="9"/>
        <v>1</v>
      </c>
      <c r="P46" s="276">
        <f t="shared" ca="1" si="6"/>
        <v>-0.75</v>
      </c>
      <c r="Q46" s="276"/>
      <c r="R46" s="232" t="s">
        <v>1960</v>
      </c>
      <c r="S46" s="224">
        <v>4.0999999999999996</v>
      </c>
      <c r="T46" s="224">
        <f t="shared" si="7"/>
        <v>0.5</v>
      </c>
      <c r="U46" s="224">
        <f t="shared" si="10"/>
        <v>0</v>
      </c>
      <c r="V46" s="79"/>
      <c r="W46" s="79"/>
      <c r="X46" s="79"/>
      <c r="Y46" s="227"/>
      <c r="Z46" s="79"/>
      <c r="AA46" s="79"/>
      <c r="AB46" s="79"/>
      <c r="AC46" s="92"/>
      <c r="AD46" s="79"/>
      <c r="AE46" s="79"/>
      <c r="AF46" s="79"/>
      <c r="AG46" s="79"/>
      <c r="AH46" s="79"/>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hidden="1" outlineLevel="1" x14ac:dyDescent="0.4">
      <c r="A47" s="30" t="str">
        <f t="shared" si="5"/>
        <v>PROPERTY_ENERGY_CERTIFICATECADASTRAL_REGISTER_CODE</v>
      </c>
      <c r="B47" s="142" t="s">
        <v>26</v>
      </c>
      <c r="C47" s="138" t="s">
        <v>54</v>
      </c>
      <c r="D47" s="253" t="s">
        <v>40</v>
      </c>
      <c r="E47" s="254" t="s">
        <v>123</v>
      </c>
      <c r="F47" s="254"/>
      <c r="G47" s="253" t="s">
        <v>98</v>
      </c>
      <c r="H47" s="255" t="str">
        <f>VLOOKUP(A47,'2. Status Detalhe Campos'!$A$7:$G$574,7,0)</f>
        <v>4. Validação EF</v>
      </c>
      <c r="I47" s="229" t="s">
        <v>38</v>
      </c>
      <c r="J47" s="153">
        <v>45593</v>
      </c>
      <c r="K47" s="153">
        <v>45593</v>
      </c>
      <c r="L47" s="280">
        <f t="array" ref="L47">MIN(IF(V47:CH47&gt;0,$V$16:$CH$16))</f>
        <v>45607</v>
      </c>
      <c r="M47" s="279">
        <f t="array" ref="M47">MAX(IF(V47:CH47&gt;0,$V$16:$CH$16))</f>
        <v>45607</v>
      </c>
      <c r="N47" s="277">
        <f>VLOOKUP(H47,Auxiliar!$B$16:$E$24,4,0)</f>
        <v>0.25</v>
      </c>
      <c r="O47" s="277">
        <f t="shared" ca="1" si="9"/>
        <v>1</v>
      </c>
      <c r="P47" s="276">
        <f t="shared" ca="1" si="6"/>
        <v>-0.75</v>
      </c>
      <c r="Q47" s="276"/>
      <c r="R47" s="232" t="s">
        <v>1960</v>
      </c>
      <c r="S47" s="224">
        <v>4.0999999999999996</v>
      </c>
      <c r="T47" s="224">
        <f t="shared" si="7"/>
        <v>0.5</v>
      </c>
      <c r="U47" s="224">
        <f t="shared" si="10"/>
        <v>0</v>
      </c>
      <c r="V47" s="79"/>
      <c r="W47" s="79"/>
      <c r="X47" s="79"/>
      <c r="Y47" s="227"/>
      <c r="Z47" s="79"/>
      <c r="AA47" s="79"/>
      <c r="AB47" s="79"/>
      <c r="AC47" s="92"/>
      <c r="AD47" s="79"/>
      <c r="AE47" s="79"/>
      <c r="AF47" s="79"/>
      <c r="AG47" s="79"/>
      <c r="AH47" s="79"/>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hidden="1" outlineLevel="1" x14ac:dyDescent="0.4">
      <c r="A48" s="30" t="str">
        <f t="shared" si="5"/>
        <v>PROPERTY_ENERGY_CERTIFICATEDISTRICT_MUNICIP_PARISH_CODE</v>
      </c>
      <c r="B48" s="142" t="s">
        <v>26</v>
      </c>
      <c r="C48" s="138" t="s">
        <v>54</v>
      </c>
      <c r="D48" s="253" t="s">
        <v>40</v>
      </c>
      <c r="E48" s="254" t="s">
        <v>123</v>
      </c>
      <c r="F48" s="254"/>
      <c r="G48" s="253" t="s">
        <v>101</v>
      </c>
      <c r="H48" s="255" t="str">
        <f>VLOOKUP(A48,'2. Status Detalhe Campos'!$A$7:$G$574,7,0)</f>
        <v>4. Validação EF</v>
      </c>
      <c r="I48" s="229" t="s">
        <v>38</v>
      </c>
      <c r="J48" s="153">
        <v>45593</v>
      </c>
      <c r="K48" s="153">
        <v>45593</v>
      </c>
      <c r="L48" s="280">
        <f t="array" ref="L48">MIN(IF(V48:CH48&gt;0,$V$16:$CH$16))</f>
        <v>45607</v>
      </c>
      <c r="M48" s="279">
        <f t="array" ref="M48">MAX(IF(V48:CH48&gt;0,$V$16:$CH$16))</f>
        <v>45607</v>
      </c>
      <c r="N48" s="277">
        <f>VLOOKUP(H48,Auxiliar!$B$16:$E$24,4,0)</f>
        <v>0.25</v>
      </c>
      <c r="O48" s="277">
        <f t="shared" ca="1" si="9"/>
        <v>1</v>
      </c>
      <c r="P48" s="276">
        <f t="shared" ca="1" si="6"/>
        <v>-0.75</v>
      </c>
      <c r="Q48" s="276"/>
      <c r="R48" s="232" t="s">
        <v>1960</v>
      </c>
      <c r="S48" s="224">
        <v>4.0999999999999996</v>
      </c>
      <c r="T48" s="224">
        <f t="shared" si="7"/>
        <v>0.5</v>
      </c>
      <c r="U48" s="224">
        <f t="shared" si="10"/>
        <v>0</v>
      </c>
      <c r="V48" s="79"/>
      <c r="W48" s="79"/>
      <c r="X48" s="79"/>
      <c r="Y48" s="227"/>
      <c r="Z48" s="79"/>
      <c r="AA48" s="79"/>
      <c r="AB48" s="79"/>
      <c r="AC48" s="92"/>
      <c r="AD48" s="79"/>
      <c r="AE48" s="79"/>
      <c r="AF48" s="79"/>
      <c r="AG48" s="79"/>
      <c r="AH48" s="79"/>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hidden="1" outlineLevel="1" x14ac:dyDescent="0.4">
      <c r="A49" s="30" t="str">
        <f t="shared" si="5"/>
        <v>PROPERTY_ENERGY_CERTIFICATEPROPERTY_PURPOSE_CODE</v>
      </c>
      <c r="B49" s="142" t="s">
        <v>26</v>
      </c>
      <c r="C49" s="138" t="s">
        <v>54</v>
      </c>
      <c r="D49" s="253" t="s">
        <v>40</v>
      </c>
      <c r="E49" s="254" t="s">
        <v>123</v>
      </c>
      <c r="F49" s="254"/>
      <c r="G49" s="253" t="s">
        <v>102</v>
      </c>
      <c r="H49" s="255" t="str">
        <f>VLOOKUP(A49,'2. Status Detalhe Campos'!$A$7:$G$574,7,0)</f>
        <v>4. Validação EF</v>
      </c>
      <c r="I49" s="229" t="s">
        <v>38</v>
      </c>
      <c r="J49" s="153">
        <v>45593</v>
      </c>
      <c r="K49" s="153">
        <v>45593</v>
      </c>
      <c r="L49" s="280">
        <f t="array" ref="L49">MIN(IF(V49:CH49&gt;0,$V$16:$CH$16))</f>
        <v>45607</v>
      </c>
      <c r="M49" s="279">
        <f t="array" ref="M49">MAX(IF(V49:CH49&gt;0,$V$16:$CH$16))</f>
        <v>45607</v>
      </c>
      <c r="N49" s="277">
        <f>VLOOKUP(H49,Auxiliar!$B$16:$E$24,4,0)</f>
        <v>0.25</v>
      </c>
      <c r="O49" s="277">
        <f t="shared" ca="1" si="9"/>
        <v>1</v>
      </c>
      <c r="P49" s="276">
        <f t="shared" ca="1" si="6"/>
        <v>-0.75</v>
      </c>
      <c r="Q49" s="276"/>
      <c r="R49" s="232" t="s">
        <v>1960</v>
      </c>
      <c r="S49" s="224">
        <v>4.0999999999999996</v>
      </c>
      <c r="T49" s="224">
        <f t="shared" si="7"/>
        <v>0.5</v>
      </c>
      <c r="U49" s="224">
        <f t="shared" si="10"/>
        <v>0</v>
      </c>
      <c r="V49" s="79"/>
      <c r="W49" s="79"/>
      <c r="X49" s="79"/>
      <c r="Y49" s="227"/>
      <c r="Z49" s="79"/>
      <c r="AA49" s="79"/>
      <c r="AB49" s="79"/>
      <c r="AC49" s="92"/>
      <c r="AD49" s="79"/>
      <c r="AE49" s="79"/>
      <c r="AF49" s="79"/>
      <c r="AG49" s="79"/>
      <c r="AH49" s="79"/>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hidden="1" outlineLevel="1" x14ac:dyDescent="0.4">
      <c r="A50" s="30" t="str">
        <f t="shared" si="5"/>
        <v>PROPERTY_ENERGY_CERTIFICATEADDRESS_CODE</v>
      </c>
      <c r="B50" s="142" t="s">
        <v>26</v>
      </c>
      <c r="C50" s="138" t="s">
        <v>54</v>
      </c>
      <c r="D50" s="253" t="s">
        <v>40</v>
      </c>
      <c r="E50" s="254" t="s">
        <v>123</v>
      </c>
      <c r="F50" s="254"/>
      <c r="G50" s="253" t="s">
        <v>104</v>
      </c>
      <c r="H50" s="255" t="str">
        <f>VLOOKUP(A50,'2. Status Detalhe Campos'!$A$7:$G$574,7,0)</f>
        <v>4. Validação EF</v>
      </c>
      <c r="I50" s="229" t="s">
        <v>38</v>
      </c>
      <c r="J50" s="153">
        <v>45593</v>
      </c>
      <c r="K50" s="153">
        <v>45593</v>
      </c>
      <c r="L50" s="280">
        <f t="array" ref="L50">MIN(IF(V50:CH50&gt;0,$V$16:$CH$16))</f>
        <v>45608</v>
      </c>
      <c r="M50" s="279">
        <f t="array" ref="M50">MAX(IF(V50:CH50&gt;0,$V$16:$CH$16))</f>
        <v>45608</v>
      </c>
      <c r="N50" s="277">
        <f>VLOOKUP(H50,Auxiliar!$B$16:$E$24,4,0)</f>
        <v>0.25</v>
      </c>
      <c r="O50" s="277">
        <f t="shared" ca="1" si="9"/>
        <v>1</v>
      </c>
      <c r="P50" s="276">
        <f t="shared" ca="1" si="6"/>
        <v>-0.75</v>
      </c>
      <c r="Q50" s="276"/>
      <c r="R50" s="232" t="s">
        <v>1960</v>
      </c>
      <c r="S50" s="224">
        <v>4.0999999999999996</v>
      </c>
      <c r="T50" s="224">
        <f t="shared" si="7"/>
        <v>0.5</v>
      </c>
      <c r="U50" s="224">
        <f t="shared" si="10"/>
        <v>0</v>
      </c>
      <c r="V50" s="79"/>
      <c r="W50" s="79"/>
      <c r="X50" s="79"/>
      <c r="Y50" s="227"/>
      <c r="Z50" s="79"/>
      <c r="AA50" s="79"/>
      <c r="AB50" s="79"/>
      <c r="AC50" s="92"/>
      <c r="AD50" s="79"/>
      <c r="AE50" s="79"/>
      <c r="AF50" s="79"/>
      <c r="AG50" s="79"/>
      <c r="AH50" s="79"/>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hidden="1" outlineLevel="1" x14ac:dyDescent="0.4">
      <c r="A51" s="30" t="str">
        <f t="shared" si="5"/>
        <v>PROPERTY_ENERGY_CERTIFICATEFLOOR_NUMBER</v>
      </c>
      <c r="B51" s="142" t="s">
        <v>26</v>
      </c>
      <c r="C51" s="138" t="s">
        <v>54</v>
      </c>
      <c r="D51" s="253" t="s">
        <v>40</v>
      </c>
      <c r="E51" s="254" t="s">
        <v>123</v>
      </c>
      <c r="F51" s="254"/>
      <c r="G51" s="253" t="s">
        <v>111</v>
      </c>
      <c r="H51" s="255" t="str">
        <f>VLOOKUP(A51,'2. Status Detalhe Campos'!$A$7:$G$574,7,0)</f>
        <v>4. Validação EF</v>
      </c>
      <c r="I51" s="229" t="s">
        <v>38</v>
      </c>
      <c r="J51" s="153">
        <v>45593</v>
      </c>
      <c r="K51" s="153">
        <v>45593</v>
      </c>
      <c r="L51" s="280">
        <f t="array" ref="L51">MIN(IF(V51:CH51&gt;0,$V$16:$CH$16))</f>
        <v>45608</v>
      </c>
      <c r="M51" s="279">
        <f t="array" ref="M51">MAX(IF(V51:CH51&gt;0,$V$16:$CH$16))</f>
        <v>45608</v>
      </c>
      <c r="N51" s="277">
        <f>VLOOKUP(H51,Auxiliar!$B$16:$E$24,4,0)</f>
        <v>0.25</v>
      </c>
      <c r="O51" s="277">
        <f t="shared" ca="1" si="9"/>
        <v>1</v>
      </c>
      <c r="P51" s="276">
        <f t="shared" ca="1" si="6"/>
        <v>-0.75</v>
      </c>
      <c r="Q51" s="276"/>
      <c r="R51" s="232" t="s">
        <v>1960</v>
      </c>
      <c r="S51" s="224">
        <v>4.0999999999999996</v>
      </c>
      <c r="T51" s="224">
        <f t="shared" si="7"/>
        <v>0.5</v>
      </c>
      <c r="U51" s="224">
        <f t="shared" si="10"/>
        <v>0</v>
      </c>
      <c r="V51" s="79"/>
      <c r="W51" s="79"/>
      <c r="X51" s="79"/>
      <c r="Y51" s="227"/>
      <c r="Z51" s="79"/>
      <c r="AA51" s="79"/>
      <c r="AB51" s="79"/>
      <c r="AC51" s="92"/>
      <c r="AD51" s="79"/>
      <c r="AE51" s="79"/>
      <c r="AF51" s="79"/>
      <c r="AG51" s="79"/>
      <c r="AH51" s="79"/>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hidden="1" outlineLevel="1" x14ac:dyDescent="0.4">
      <c r="A52" s="30" t="str">
        <f t="shared" si="5"/>
        <v>PROPERTY_ENERGY_CERTIFICATELOCALITY</v>
      </c>
      <c r="B52" s="142" t="s">
        <v>26</v>
      </c>
      <c r="C52" s="138" t="s">
        <v>54</v>
      </c>
      <c r="D52" s="253" t="s">
        <v>40</v>
      </c>
      <c r="E52" s="254" t="s">
        <v>123</v>
      </c>
      <c r="F52" s="254"/>
      <c r="G52" s="253" t="s">
        <v>112</v>
      </c>
      <c r="H52" s="255" t="str">
        <f>VLOOKUP(A52,'2. Status Detalhe Campos'!$A$7:$G$574,7,0)</f>
        <v>4. Validação EF</v>
      </c>
      <c r="I52" s="229" t="s">
        <v>38</v>
      </c>
      <c r="J52" s="153">
        <v>45593</v>
      </c>
      <c r="K52" s="153">
        <v>45593</v>
      </c>
      <c r="L52" s="280">
        <f t="array" ref="L52">MIN(IF(V52:CH52&gt;0,$V$16:$CH$16))</f>
        <v>45608</v>
      </c>
      <c r="M52" s="279">
        <f t="array" ref="M52">MAX(IF(V52:CH52&gt;0,$V$16:$CH$16))</f>
        <v>45608</v>
      </c>
      <c r="N52" s="277">
        <f>VLOOKUP(H52,Auxiliar!$B$16:$E$24,4,0)</f>
        <v>0.25</v>
      </c>
      <c r="O52" s="277">
        <f t="shared" ca="1" si="9"/>
        <v>1</v>
      </c>
      <c r="P52" s="276">
        <f t="shared" ca="1" si="6"/>
        <v>-0.75</v>
      </c>
      <c r="Q52" s="276"/>
      <c r="R52" s="232" t="s">
        <v>1960</v>
      </c>
      <c r="S52" s="224">
        <v>4.0999999999999996</v>
      </c>
      <c r="T52" s="224">
        <f t="shared" si="7"/>
        <v>0.5</v>
      </c>
      <c r="U52" s="224">
        <f t="shared" si="10"/>
        <v>0</v>
      </c>
      <c r="V52" s="79"/>
      <c r="W52" s="79"/>
      <c r="X52" s="79"/>
      <c r="Y52" s="227"/>
      <c r="Z52" s="79"/>
      <c r="AA52" s="79"/>
      <c r="AB52" s="79"/>
      <c r="AC52" s="92"/>
      <c r="AD52" s="79"/>
      <c r="AE52" s="79"/>
      <c r="AF52" s="79"/>
      <c r="AG52" s="79"/>
      <c r="AH52" s="79"/>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ollapsed="1" x14ac:dyDescent="0.4">
      <c r="A53" s="30"/>
      <c r="B53" s="142" t="s">
        <v>26</v>
      </c>
      <c r="C53" s="138" t="s">
        <v>181</v>
      </c>
      <c r="D53" s="134"/>
      <c r="E53" s="260" t="s">
        <v>182</v>
      </c>
      <c r="F53" s="260" t="s">
        <v>1989</v>
      </c>
      <c r="G53" s="261">
        <f>COUNTA(G54:G69)</f>
        <v>16</v>
      </c>
      <c r="H53" s="136"/>
      <c r="I53" s="229" t="s">
        <v>38</v>
      </c>
      <c r="J53" s="258">
        <f>MIN(J54:J69)</f>
        <v>45603</v>
      </c>
      <c r="K53" s="258"/>
      <c r="L53" s="258">
        <f>MIN(L54:L69)</f>
        <v>45609</v>
      </c>
      <c r="M53" s="258">
        <f>MIN(M54:M69)</f>
        <v>45609</v>
      </c>
      <c r="N53" s="282">
        <f>SUMPRODUCT(N54:N69,T54:T69)/SUM(T54:T69)</f>
        <v>0.25</v>
      </c>
      <c r="O53" s="282">
        <f ca="1">SUMPRODUCT(O54:O69,T54:T69)/SUM(T54:T69)</f>
        <v>1</v>
      </c>
      <c r="P53" s="276">
        <f t="shared" ca="1" si="6"/>
        <v>-0.75</v>
      </c>
      <c r="Q53" s="287" t="s">
        <v>38</v>
      </c>
      <c r="R53" s="230"/>
      <c r="S53" s="224"/>
      <c r="T53" s="224"/>
      <c r="U53" s="224"/>
      <c r="V53" s="79"/>
      <c r="W53" s="79"/>
      <c r="X53" s="79"/>
      <c r="Y53" s="79"/>
      <c r="Z53" s="79"/>
      <c r="AA53" s="79"/>
      <c r="AB53" s="79"/>
      <c r="AC53" s="92"/>
      <c r="AD53" s="79"/>
      <c r="AE53" s="79"/>
      <c r="AF53" s="79"/>
      <c r="AG53" s="231"/>
      <c r="AH53" s="79"/>
      <c r="AI53" s="79"/>
      <c r="AJ53" s="79"/>
      <c r="AK53" s="79"/>
      <c r="AL53" s="79"/>
      <c r="AM53" s="266"/>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hidden="1" outlineLevel="1" x14ac:dyDescent="0.4">
      <c r="A54" s="30" t="str">
        <f t="shared" si="5"/>
        <v>modesg_param_sfcs_taxon_europeiacod_regra</v>
      </c>
      <c r="B54" s="142" t="s">
        <v>26</v>
      </c>
      <c r="C54" s="138" t="s">
        <v>181</v>
      </c>
      <c r="D54" s="253" t="s">
        <v>40</v>
      </c>
      <c r="E54" s="254" t="s">
        <v>182</v>
      </c>
      <c r="F54" s="254"/>
      <c r="G54" s="253" t="s">
        <v>191</v>
      </c>
      <c r="H54" s="255" t="str">
        <f>VLOOKUP(A54,'2. Status Detalhe Campos'!$A$7:$G$574,7,0)</f>
        <v>2.1 Em Teste</v>
      </c>
      <c r="I54" s="229" t="s">
        <v>38</v>
      </c>
      <c r="J54" s="153">
        <v>45603</v>
      </c>
      <c r="K54" s="229"/>
      <c r="L54" s="280">
        <f t="array" ref="L54">MIN(IF(V54:CH54&gt;0,$V$16:$CH$16))</f>
        <v>45609</v>
      </c>
      <c r="M54" s="279">
        <f t="array" ref="M54">MAX(IF(V54:CH54&gt;0,$V$16:$CH$16))</f>
        <v>45609</v>
      </c>
      <c r="N54" s="277">
        <f>VLOOKUP(H54,Auxiliar!$B$16:$E$24,4,0)</f>
        <v>0.25</v>
      </c>
      <c r="O54" s="277">
        <f t="shared" ref="O54:O69" ca="1" si="11">IF(TODAY()&lt;=L54,0,MIN((TODAY()-L54)/(M54-L54+1),100%))</f>
        <v>1</v>
      </c>
      <c r="P54" s="276">
        <f t="shared" ca="1" si="6"/>
        <v>-0.75</v>
      </c>
      <c r="Q54" s="287" t="s">
        <v>38</v>
      </c>
      <c r="R54" s="230"/>
      <c r="S54" s="224">
        <v>0.6</v>
      </c>
      <c r="T54" s="224">
        <f t="shared" si="7"/>
        <v>0.1</v>
      </c>
      <c r="U54" s="224">
        <f t="shared" ref="U54:U69" si="12">SUM(V54:CH54)-T54</f>
        <v>0</v>
      </c>
      <c r="V54" s="79"/>
      <c r="W54" s="79"/>
      <c r="X54" s="79"/>
      <c r="Y54" s="79"/>
      <c r="Z54" s="79"/>
      <c r="AA54" s="79"/>
      <c r="AB54" s="79"/>
      <c r="AC54" s="92"/>
      <c r="AD54" s="79"/>
      <c r="AE54" s="79"/>
      <c r="AF54" s="79"/>
      <c r="AG54" s="231"/>
      <c r="AH54" s="79"/>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hidden="1" outlineLevel="1" x14ac:dyDescent="0.4">
      <c r="A55" s="30" t="str">
        <f t="shared" si="5"/>
        <v>modesg_param_sfcs_taxon_europeiacomite</v>
      </c>
      <c r="B55" s="142" t="s">
        <v>26</v>
      </c>
      <c r="C55" s="138" t="s">
        <v>181</v>
      </c>
      <c r="D55" s="253" t="s">
        <v>40</v>
      </c>
      <c r="E55" s="254" t="s">
        <v>182</v>
      </c>
      <c r="F55" s="254"/>
      <c r="G55" s="253" t="s">
        <v>192</v>
      </c>
      <c r="H55" s="255" t="str">
        <f>VLOOKUP(A55,'2. Status Detalhe Campos'!$A$7:$G$574,7,0)</f>
        <v>2.1 Em Teste</v>
      </c>
      <c r="I55" s="229" t="s">
        <v>38</v>
      </c>
      <c r="J55" s="153">
        <v>45603</v>
      </c>
      <c r="K55" s="229"/>
      <c r="L55" s="280">
        <f t="array" ref="L55">MIN(IF(V55:CH55&gt;0,$V$16:$CH$16))</f>
        <v>45609</v>
      </c>
      <c r="M55" s="279">
        <f t="array" ref="M55">MAX(IF(V55:CH55&gt;0,$V$16:$CH$16))</f>
        <v>45609</v>
      </c>
      <c r="N55" s="277">
        <f>VLOOKUP(H55,Auxiliar!$B$16:$E$24,4,0)</f>
        <v>0.25</v>
      </c>
      <c r="O55" s="277">
        <f t="shared" ca="1" si="11"/>
        <v>1</v>
      </c>
      <c r="P55" s="276">
        <f t="shared" ca="1" si="6"/>
        <v>-0.75</v>
      </c>
      <c r="Q55" s="287" t="s">
        <v>38</v>
      </c>
      <c r="R55" s="230"/>
      <c r="S55" s="224">
        <v>0.6</v>
      </c>
      <c r="T55" s="224">
        <f t="shared" si="7"/>
        <v>0.1</v>
      </c>
      <c r="U55" s="224">
        <f t="shared" si="12"/>
        <v>0</v>
      </c>
      <c r="V55" s="79"/>
      <c r="W55" s="79"/>
      <c r="X55" s="79"/>
      <c r="Y55" s="79"/>
      <c r="Z55" s="79"/>
      <c r="AA55" s="79"/>
      <c r="AB55" s="79"/>
      <c r="AC55" s="92"/>
      <c r="AD55" s="79"/>
      <c r="AE55" s="79"/>
      <c r="AF55" s="79"/>
      <c r="AG55" s="231"/>
      <c r="AH55" s="79"/>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hidden="1" outlineLevel="1" x14ac:dyDescent="0.4">
      <c r="A56" s="30" t="str">
        <f t="shared" si="5"/>
        <v>modesg_param_sfcs_taxon_europeiadata_aprvc</v>
      </c>
      <c r="B56" s="142" t="s">
        <v>26</v>
      </c>
      <c r="C56" s="138" t="s">
        <v>181</v>
      </c>
      <c r="D56" s="253" t="s">
        <v>40</v>
      </c>
      <c r="E56" s="254" t="s">
        <v>182</v>
      </c>
      <c r="F56" s="254"/>
      <c r="G56" s="253" t="s">
        <v>193</v>
      </c>
      <c r="H56" s="255" t="str">
        <f>VLOOKUP(A56,'2. Status Detalhe Campos'!$A$7:$G$574,7,0)</f>
        <v>2.1 Em Teste</v>
      </c>
      <c r="I56" s="229" t="s">
        <v>38</v>
      </c>
      <c r="J56" s="153">
        <v>45603</v>
      </c>
      <c r="K56" s="229"/>
      <c r="L56" s="280">
        <f t="array" ref="L56">MIN(IF(V56:CH56&gt;0,$V$16:$CH$16))</f>
        <v>45609</v>
      </c>
      <c r="M56" s="279">
        <f t="array" ref="M56">MAX(IF(V56:CH56&gt;0,$V$16:$CH$16))</f>
        <v>45609</v>
      </c>
      <c r="N56" s="277">
        <f>VLOOKUP(H56,Auxiliar!$B$16:$E$24,4,0)</f>
        <v>0.25</v>
      </c>
      <c r="O56" s="277">
        <f t="shared" ca="1" si="11"/>
        <v>1</v>
      </c>
      <c r="P56" s="276">
        <f t="shared" ca="1" si="6"/>
        <v>-0.75</v>
      </c>
      <c r="Q56" s="287" t="s">
        <v>38</v>
      </c>
      <c r="R56" s="230"/>
      <c r="S56" s="224">
        <v>0.6</v>
      </c>
      <c r="T56" s="224">
        <f t="shared" si="7"/>
        <v>0.1</v>
      </c>
      <c r="U56" s="224">
        <f t="shared" si="12"/>
        <v>0</v>
      </c>
      <c r="V56" s="79"/>
      <c r="W56" s="79"/>
      <c r="X56" s="79"/>
      <c r="Y56" s="79"/>
      <c r="Z56" s="79"/>
      <c r="AA56" s="79"/>
      <c r="AB56" s="79"/>
      <c r="AC56" s="92"/>
      <c r="AD56" s="79"/>
      <c r="AE56" s="79"/>
      <c r="AF56" s="79"/>
      <c r="AG56" s="231"/>
      <c r="AH56" s="79"/>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hidden="1" outlineLevel="1" x14ac:dyDescent="0.4">
      <c r="A57" s="30" t="str">
        <f t="shared" si="5"/>
        <v>modesg_param_sfcs_taxon_europeiadata_final</v>
      </c>
      <c r="B57" s="142" t="s">
        <v>26</v>
      </c>
      <c r="C57" s="138" t="s">
        <v>181</v>
      </c>
      <c r="D57" s="253" t="s">
        <v>40</v>
      </c>
      <c r="E57" s="254" t="s">
        <v>182</v>
      </c>
      <c r="F57" s="254"/>
      <c r="G57" s="253" t="s">
        <v>194</v>
      </c>
      <c r="H57" s="255" t="str">
        <f>VLOOKUP(A57,'2. Status Detalhe Campos'!$A$7:$G$574,7,0)</f>
        <v>2.1 Em Teste</v>
      </c>
      <c r="I57" s="229" t="s">
        <v>38</v>
      </c>
      <c r="J57" s="153">
        <v>45603</v>
      </c>
      <c r="K57" s="229"/>
      <c r="L57" s="280">
        <f t="array" ref="L57">MIN(IF(V57:CH57&gt;0,$V$16:$CH$16))</f>
        <v>45609</v>
      </c>
      <c r="M57" s="279">
        <f t="array" ref="M57">MAX(IF(V57:CH57&gt;0,$V$16:$CH$16))</f>
        <v>45609</v>
      </c>
      <c r="N57" s="277">
        <f>VLOOKUP(H57,Auxiliar!$B$16:$E$24,4,0)</f>
        <v>0.25</v>
      </c>
      <c r="O57" s="277">
        <f t="shared" ca="1" si="11"/>
        <v>1</v>
      </c>
      <c r="P57" s="276">
        <f t="shared" ca="1" si="6"/>
        <v>-0.75</v>
      </c>
      <c r="Q57" s="287" t="s">
        <v>38</v>
      </c>
      <c r="R57" s="230"/>
      <c r="S57" s="224">
        <v>0.6</v>
      </c>
      <c r="T57" s="224">
        <f t="shared" si="7"/>
        <v>0.1</v>
      </c>
      <c r="U57" s="224">
        <f t="shared" si="12"/>
        <v>0</v>
      </c>
      <c r="V57" s="79"/>
      <c r="W57" s="79"/>
      <c r="X57" s="79"/>
      <c r="Y57" s="79"/>
      <c r="Z57" s="79"/>
      <c r="AA57" s="79"/>
      <c r="AB57" s="79"/>
      <c r="AC57" s="92"/>
      <c r="AD57" s="79"/>
      <c r="AE57" s="79"/>
      <c r="AF57" s="79"/>
      <c r="AG57" s="231"/>
      <c r="AH57" s="79"/>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hidden="1" outlineLevel="1" x14ac:dyDescent="0.4">
      <c r="A58" s="30" t="str">
        <f t="shared" si="5"/>
        <v>modesg_param_sfcs_taxon_europeiadata_inicial</v>
      </c>
      <c r="B58" s="142" t="s">
        <v>26</v>
      </c>
      <c r="C58" s="138" t="s">
        <v>181</v>
      </c>
      <c r="D58" s="253" t="s">
        <v>40</v>
      </c>
      <c r="E58" s="254" t="s">
        <v>182</v>
      </c>
      <c r="F58" s="254"/>
      <c r="G58" s="253" t="s">
        <v>195</v>
      </c>
      <c r="H58" s="255" t="str">
        <f>VLOOKUP(A58,'2. Status Detalhe Campos'!$A$7:$G$574,7,0)</f>
        <v>2.1 Em Teste</v>
      </c>
      <c r="I58" s="229" t="s">
        <v>38</v>
      </c>
      <c r="J58" s="153">
        <v>45603</v>
      </c>
      <c r="K58" s="229"/>
      <c r="L58" s="280">
        <f t="array" ref="L58">MIN(IF(V58:CH58&gt;0,$V$16:$CH$16))</f>
        <v>45609</v>
      </c>
      <c r="M58" s="279">
        <f t="array" ref="M58">MAX(IF(V58:CH58&gt;0,$V$16:$CH$16))</f>
        <v>45609</v>
      </c>
      <c r="N58" s="277">
        <f>VLOOKUP(H58,Auxiliar!$B$16:$E$24,4,0)</f>
        <v>0.25</v>
      </c>
      <c r="O58" s="277">
        <f t="shared" ca="1" si="11"/>
        <v>1</v>
      </c>
      <c r="P58" s="276">
        <f t="shared" ca="1" si="6"/>
        <v>-0.75</v>
      </c>
      <c r="Q58" s="287" t="s">
        <v>38</v>
      </c>
      <c r="R58" s="230"/>
      <c r="S58" s="224">
        <v>0.6</v>
      </c>
      <c r="T58" s="224">
        <f t="shared" si="7"/>
        <v>0.1</v>
      </c>
      <c r="U58" s="224">
        <f t="shared" si="12"/>
        <v>0</v>
      </c>
      <c r="V58" s="79"/>
      <c r="W58" s="79"/>
      <c r="X58" s="79"/>
      <c r="Y58" s="79"/>
      <c r="Z58" s="79"/>
      <c r="AA58" s="79"/>
      <c r="AB58" s="79"/>
      <c r="AC58" s="92"/>
      <c r="AD58" s="79"/>
      <c r="AE58" s="79"/>
      <c r="AF58" s="79"/>
      <c r="AG58" s="231"/>
      <c r="AH58" s="79"/>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hidden="1" outlineLevel="1" x14ac:dyDescent="0.4">
      <c r="A59" s="30" t="str">
        <f t="shared" si="5"/>
        <v>modesg_param_sfcs_taxon_europeiaflag_project_finance</v>
      </c>
      <c r="B59" s="142" t="s">
        <v>26</v>
      </c>
      <c r="C59" s="138" t="s">
        <v>181</v>
      </c>
      <c r="D59" s="253" t="s">
        <v>40</v>
      </c>
      <c r="E59" s="254" t="s">
        <v>182</v>
      </c>
      <c r="F59" s="254"/>
      <c r="G59" s="253" t="s">
        <v>199</v>
      </c>
      <c r="H59" s="255" t="str">
        <f>VLOOKUP(A59,'2. Status Detalhe Campos'!$A$7:$G$574,7,0)</f>
        <v>2.1 Em Teste</v>
      </c>
      <c r="I59" s="229" t="s">
        <v>38</v>
      </c>
      <c r="J59" s="153">
        <v>45603</v>
      </c>
      <c r="K59" s="229"/>
      <c r="L59" s="280">
        <f t="array" ref="L59">MIN(IF(V59:CH59&gt;0,$V$16:$CH$16))</f>
        <v>45609</v>
      </c>
      <c r="M59" s="279">
        <f t="array" ref="M59">MAX(IF(V59:CH59&gt;0,$V$16:$CH$16))</f>
        <v>45609</v>
      </c>
      <c r="N59" s="277">
        <f>VLOOKUP(H59,Auxiliar!$B$16:$E$24,4,0)</f>
        <v>0.25</v>
      </c>
      <c r="O59" s="277">
        <f t="shared" ca="1" si="11"/>
        <v>1</v>
      </c>
      <c r="P59" s="276">
        <f t="shared" ca="1" si="6"/>
        <v>-0.75</v>
      </c>
      <c r="Q59" s="287" t="s">
        <v>38</v>
      </c>
      <c r="R59" s="230"/>
      <c r="S59" s="224">
        <v>0.6</v>
      </c>
      <c r="T59" s="224">
        <f t="shared" si="7"/>
        <v>0.1</v>
      </c>
      <c r="U59" s="224">
        <f t="shared" si="12"/>
        <v>0</v>
      </c>
      <c r="V59" s="79"/>
      <c r="W59" s="79"/>
      <c r="X59" s="79"/>
      <c r="Y59" s="79"/>
      <c r="Z59" s="79"/>
      <c r="AA59" s="79"/>
      <c r="AB59" s="79"/>
      <c r="AC59" s="92"/>
      <c r="AD59" s="79"/>
      <c r="AE59" s="79"/>
      <c r="AF59" s="79"/>
      <c r="AG59" s="231"/>
      <c r="AH59" s="79"/>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hidden="1" outlineLevel="1" x14ac:dyDescent="0.4">
      <c r="A60" s="30" t="str">
        <f t="shared" si="5"/>
        <v>modesg_param_sfcs_taxon_europeiacfinalidad</v>
      </c>
      <c r="B60" s="142" t="s">
        <v>26</v>
      </c>
      <c r="C60" s="138" t="s">
        <v>181</v>
      </c>
      <c r="D60" s="253" t="s">
        <v>40</v>
      </c>
      <c r="E60" s="254" t="s">
        <v>182</v>
      </c>
      <c r="F60" s="254"/>
      <c r="G60" s="253" t="s">
        <v>200</v>
      </c>
      <c r="H60" s="255" t="str">
        <f>VLOOKUP(A60,'2. Status Detalhe Campos'!$A$7:$G$574,7,0)</f>
        <v>2.1 Em Teste</v>
      </c>
      <c r="I60" s="229" t="s">
        <v>38</v>
      </c>
      <c r="J60" s="153">
        <v>45603</v>
      </c>
      <c r="K60" s="229"/>
      <c r="L60" s="280">
        <f t="array" ref="L60">MIN(IF(V60:CH60&gt;0,$V$16:$CH$16))</f>
        <v>45609</v>
      </c>
      <c r="M60" s="279">
        <f t="array" ref="M60">MAX(IF(V60:CH60&gt;0,$V$16:$CH$16))</f>
        <v>45609</v>
      </c>
      <c r="N60" s="277">
        <f>VLOOKUP(H60,Auxiliar!$B$16:$E$24,4,0)</f>
        <v>0.25</v>
      </c>
      <c r="O60" s="277">
        <f t="shared" ca="1" si="11"/>
        <v>1</v>
      </c>
      <c r="P60" s="276">
        <f t="shared" ca="1" si="6"/>
        <v>-0.75</v>
      </c>
      <c r="Q60" s="287" t="s">
        <v>38</v>
      </c>
      <c r="R60" s="230"/>
      <c r="S60" s="224">
        <v>0.6</v>
      </c>
      <c r="T60" s="224">
        <f t="shared" si="7"/>
        <v>0.1</v>
      </c>
      <c r="U60" s="224">
        <f t="shared" si="12"/>
        <v>0</v>
      </c>
      <c r="V60" s="79"/>
      <c r="W60" s="79"/>
      <c r="X60" s="79"/>
      <c r="Y60" s="79"/>
      <c r="Z60" s="79"/>
      <c r="AA60" s="79"/>
      <c r="AB60" s="79"/>
      <c r="AC60" s="92"/>
      <c r="AD60" s="79"/>
      <c r="AE60" s="79"/>
      <c r="AF60" s="79"/>
      <c r="AG60" s="231"/>
      <c r="AH60" s="79"/>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hidden="1" outlineLevel="1" x14ac:dyDescent="0.4">
      <c r="A61" s="30" t="str">
        <f t="shared" si="5"/>
        <v>modesg_param_sfcs_taxon_europeiatipo_combust</v>
      </c>
      <c r="B61" s="142" t="s">
        <v>26</v>
      </c>
      <c r="C61" s="138" t="s">
        <v>181</v>
      </c>
      <c r="D61" s="253" t="s">
        <v>40</v>
      </c>
      <c r="E61" s="254" t="s">
        <v>182</v>
      </c>
      <c r="F61" s="254"/>
      <c r="G61" s="253" t="s">
        <v>201</v>
      </c>
      <c r="H61" s="255" t="str">
        <f>VLOOKUP(A61,'2. Status Detalhe Campos'!$A$7:$G$574,7,0)</f>
        <v>2.1 Em Teste</v>
      </c>
      <c r="I61" s="229" t="s">
        <v>38</v>
      </c>
      <c r="J61" s="153">
        <v>45603</v>
      </c>
      <c r="K61" s="229"/>
      <c r="L61" s="280">
        <f t="array" ref="L61">MIN(IF(V61:CH61&gt;0,$V$16:$CH$16))</f>
        <v>45609</v>
      </c>
      <c r="M61" s="279">
        <f t="array" ref="M61">MAX(IF(V61:CH61&gt;0,$V$16:$CH$16))</f>
        <v>45609</v>
      </c>
      <c r="N61" s="277">
        <f>VLOOKUP(H61,Auxiliar!$B$16:$E$24,4,0)</f>
        <v>0.25</v>
      </c>
      <c r="O61" s="277">
        <f t="shared" ca="1" si="11"/>
        <v>1</v>
      </c>
      <c r="P61" s="276">
        <f t="shared" ca="1" si="6"/>
        <v>-0.75</v>
      </c>
      <c r="Q61" s="287" t="s">
        <v>38</v>
      </c>
      <c r="R61" s="230"/>
      <c r="S61" s="224">
        <v>0.6</v>
      </c>
      <c r="T61" s="224">
        <f t="shared" si="7"/>
        <v>0.1</v>
      </c>
      <c r="U61" s="224">
        <f t="shared" si="12"/>
        <v>0</v>
      </c>
      <c r="V61" s="79"/>
      <c r="W61" s="79"/>
      <c r="X61" s="79"/>
      <c r="Y61" s="79"/>
      <c r="Z61" s="79"/>
      <c r="AA61" s="79"/>
      <c r="AB61" s="79"/>
      <c r="AC61" s="92"/>
      <c r="AD61" s="79"/>
      <c r="AE61" s="79"/>
      <c r="AF61" s="79"/>
      <c r="AG61" s="231"/>
      <c r="AH61" s="79"/>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hidden="1" outlineLevel="1" x14ac:dyDescent="0.4">
      <c r="A62" s="30" t="str">
        <f t="shared" si="5"/>
        <v>modesg_param_sfcs_taxon_europeiamontante_pndrc</v>
      </c>
      <c r="B62" s="142" t="s">
        <v>26</v>
      </c>
      <c r="C62" s="138" t="s">
        <v>181</v>
      </c>
      <c r="D62" s="253" t="s">
        <v>40</v>
      </c>
      <c r="E62" s="254" t="s">
        <v>182</v>
      </c>
      <c r="F62" s="254"/>
      <c r="G62" s="253" t="s">
        <v>202</v>
      </c>
      <c r="H62" s="255" t="str">
        <f>VLOOKUP(A62,'2. Status Detalhe Campos'!$A$7:$G$574,7,0)</f>
        <v>2.1 Em Teste</v>
      </c>
      <c r="I62" s="229" t="s">
        <v>38</v>
      </c>
      <c r="J62" s="153">
        <v>45603</v>
      </c>
      <c r="K62" s="229"/>
      <c r="L62" s="280">
        <f t="array" ref="L62">MIN(IF(V62:CH62&gt;0,$V$16:$CH$16))</f>
        <v>45609</v>
      </c>
      <c r="M62" s="279">
        <f t="array" ref="M62">MAX(IF(V62:CH62&gt;0,$V$16:$CH$16))</f>
        <v>45609</v>
      </c>
      <c r="N62" s="277">
        <f>VLOOKUP(H62,Auxiliar!$B$16:$E$24,4,0)</f>
        <v>0.25</v>
      </c>
      <c r="O62" s="277">
        <f t="shared" ca="1" si="11"/>
        <v>1</v>
      </c>
      <c r="P62" s="276">
        <f t="shared" ca="1" si="6"/>
        <v>-0.75</v>
      </c>
      <c r="Q62" s="287" t="s">
        <v>38</v>
      </c>
      <c r="R62" s="230"/>
      <c r="S62" s="224">
        <v>0.6</v>
      </c>
      <c r="T62" s="224">
        <f t="shared" si="7"/>
        <v>0.1</v>
      </c>
      <c r="U62" s="224">
        <f t="shared" si="12"/>
        <v>0</v>
      </c>
      <c r="V62" s="79"/>
      <c r="W62" s="79"/>
      <c r="X62" s="79"/>
      <c r="Y62" s="79"/>
      <c r="Z62" s="79"/>
      <c r="AA62" s="79"/>
      <c r="AB62" s="79"/>
      <c r="AC62" s="92"/>
      <c r="AD62" s="79"/>
      <c r="AE62" s="79"/>
      <c r="AF62" s="79"/>
      <c r="AG62" s="231"/>
      <c r="AH62" s="79"/>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hidden="1" outlineLevel="1" x14ac:dyDescent="0.4">
      <c r="A63" s="30" t="str">
        <f>E63&amp;G63</f>
        <v>modesg_param_sfcs_taxon_europeianome_ctgr_sfcs</v>
      </c>
      <c r="B63" s="142" t="s">
        <v>26</v>
      </c>
      <c r="C63" s="138" t="s">
        <v>181</v>
      </c>
      <c r="D63" s="253" t="s">
        <v>40</v>
      </c>
      <c r="E63" s="254" t="s">
        <v>182</v>
      </c>
      <c r="F63" s="254"/>
      <c r="G63" s="253" t="s">
        <v>203</v>
      </c>
      <c r="H63" s="255" t="str">
        <f>VLOOKUP(A63,'2. Status Detalhe Campos'!$A$7:$G$574,7,0)</f>
        <v>2.1 Em Teste</v>
      </c>
      <c r="I63" s="229" t="s">
        <v>38</v>
      </c>
      <c r="J63" s="153">
        <v>45603</v>
      </c>
      <c r="K63" s="229"/>
      <c r="L63" s="280">
        <f t="array" ref="L63">MIN(IF(V63:CH63&gt;0,$V$16:$CH$16))</f>
        <v>45609</v>
      </c>
      <c r="M63" s="279">
        <f t="array" ref="M63">MAX(IF(V63:CH63&gt;0,$V$16:$CH$16))</f>
        <v>45609</v>
      </c>
      <c r="N63" s="277">
        <f>VLOOKUP(H63,Auxiliar!$B$16:$E$24,4,0)</f>
        <v>0.25</v>
      </c>
      <c r="O63" s="277">
        <f ca="1">IF(TODAY()&lt;=L63,0,MIN((TODAY()-L63)/(M63-L63+1),100%))</f>
        <v>1</v>
      </c>
      <c r="P63" s="276">
        <f ca="1">N63-O63</f>
        <v>-0.75</v>
      </c>
      <c r="Q63" s="287" t="s">
        <v>38</v>
      </c>
      <c r="R63" s="230"/>
      <c r="S63" s="224">
        <v>0.6</v>
      </c>
      <c r="T63" s="224">
        <f>ROUND(S63/8,1)</f>
        <v>0.1</v>
      </c>
      <c r="U63" s="224">
        <f>SUM(V63:CH63)-T63</f>
        <v>0</v>
      </c>
      <c r="V63" s="79"/>
      <c r="W63" s="79"/>
      <c r="X63" s="79"/>
      <c r="Y63" s="79"/>
      <c r="Z63" s="79"/>
      <c r="AA63" s="79"/>
      <c r="AB63" s="79"/>
      <c r="AC63" s="92"/>
      <c r="AD63" s="79"/>
      <c r="AE63" s="79"/>
      <c r="AF63" s="79"/>
      <c r="AG63" s="231"/>
      <c r="AH63" s="79"/>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hidden="1" outlineLevel="1" x14ac:dyDescent="0.4">
      <c r="A64" s="30" t="str">
        <f t="shared" si="5"/>
        <v>modesg_param_sfcs_taxon_europeianome_general_specific_purpose</v>
      </c>
      <c r="B64" s="142" t="s">
        <v>26</v>
      </c>
      <c r="C64" s="138" t="s">
        <v>181</v>
      </c>
      <c r="D64" s="253" t="s">
        <v>40</v>
      </c>
      <c r="E64" s="254" t="s">
        <v>182</v>
      </c>
      <c r="F64" s="254"/>
      <c r="G64" s="253" t="s">
        <v>204</v>
      </c>
      <c r="H64" s="255" t="str">
        <f>VLOOKUP(A64,'2. Status Detalhe Campos'!$A$7:$G$574,7,0)</f>
        <v>2.1 Em Teste</v>
      </c>
      <c r="I64" s="229" t="s">
        <v>38</v>
      </c>
      <c r="J64" s="153">
        <v>45603</v>
      </c>
      <c r="K64" s="229"/>
      <c r="L64" s="280">
        <f t="array" ref="L64">MIN(IF(V64:CH64&gt;0,$V$16:$CH$16))</f>
        <v>45609</v>
      </c>
      <c r="M64" s="279">
        <f t="array" ref="M64">MAX(IF(V64:CH64&gt;0,$V$16:$CH$16))</f>
        <v>45609</v>
      </c>
      <c r="N64" s="277">
        <f>VLOOKUP(H64,Auxiliar!$B$16:$E$24,4,0)</f>
        <v>0.25</v>
      </c>
      <c r="O64" s="277">
        <f t="shared" ca="1" si="11"/>
        <v>1</v>
      </c>
      <c r="P64" s="276">
        <f t="shared" ca="1" si="6"/>
        <v>-0.75</v>
      </c>
      <c r="Q64" s="287" t="s">
        <v>38</v>
      </c>
      <c r="R64" s="230"/>
      <c r="S64" s="224">
        <v>0.6</v>
      </c>
      <c r="T64" s="224">
        <f t="shared" si="7"/>
        <v>0.1</v>
      </c>
      <c r="U64" s="224">
        <f t="shared" si="12"/>
        <v>0</v>
      </c>
      <c r="V64" s="79"/>
      <c r="W64" s="79"/>
      <c r="X64" s="79"/>
      <c r="Y64" s="79"/>
      <c r="Z64" s="79"/>
      <c r="AA64" s="79"/>
      <c r="AB64" s="79"/>
      <c r="AC64" s="92"/>
      <c r="AD64" s="79"/>
      <c r="AE64" s="79"/>
      <c r="AF64" s="79"/>
      <c r="AG64" s="231"/>
      <c r="AH64" s="79"/>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hidden="1" outlineLevel="1" x14ac:dyDescent="0.4">
      <c r="A65" s="30" t="str">
        <f t="shared" si="5"/>
        <v>modesg_param_sfcs_taxon_europeianome_purpose_esg</v>
      </c>
      <c r="B65" s="142" t="s">
        <v>26</v>
      </c>
      <c r="C65" s="138" t="s">
        <v>181</v>
      </c>
      <c r="D65" s="253" t="s">
        <v>40</v>
      </c>
      <c r="E65" s="254" t="s">
        <v>182</v>
      </c>
      <c r="F65" s="254"/>
      <c r="G65" s="253" t="s">
        <v>205</v>
      </c>
      <c r="H65" s="255" t="str">
        <f>VLOOKUP(A65,'2. Status Detalhe Campos'!$A$7:$G$574,7,0)</f>
        <v>2.1 Em Teste</v>
      </c>
      <c r="I65" s="229" t="s">
        <v>38</v>
      </c>
      <c r="J65" s="153">
        <v>45603</v>
      </c>
      <c r="K65" s="229"/>
      <c r="L65" s="280">
        <f t="array" ref="L65">MIN(IF(V65:CH65&gt;0,$V$16:$CH$16))</f>
        <v>45609</v>
      </c>
      <c r="M65" s="279">
        <f t="array" ref="M65">MAX(IF(V65:CH65&gt;0,$V$16:$CH$16))</f>
        <v>45609</v>
      </c>
      <c r="N65" s="277">
        <f>VLOOKUP(H65,Auxiliar!$B$16:$E$24,4,0)</f>
        <v>0.25</v>
      </c>
      <c r="O65" s="277">
        <f t="shared" ca="1" si="11"/>
        <v>1</v>
      </c>
      <c r="P65" s="276">
        <f t="shared" ca="1" si="6"/>
        <v>-0.75</v>
      </c>
      <c r="Q65" s="287" t="s">
        <v>38</v>
      </c>
      <c r="R65" s="230"/>
      <c r="S65" s="224">
        <v>0.6</v>
      </c>
      <c r="T65" s="224">
        <f t="shared" si="7"/>
        <v>0.1</v>
      </c>
      <c r="U65" s="224">
        <f t="shared" si="12"/>
        <v>0</v>
      </c>
      <c r="V65" s="79"/>
      <c r="W65" s="79"/>
      <c r="X65" s="79"/>
      <c r="Y65" s="79"/>
      <c r="Z65" s="79"/>
      <c r="AA65" s="79"/>
      <c r="AB65" s="79"/>
      <c r="AC65" s="92"/>
      <c r="AD65" s="79"/>
      <c r="AE65" s="79"/>
      <c r="AF65" s="79"/>
      <c r="AG65" s="231"/>
      <c r="AH65" s="79"/>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hidden="1" outlineLevel="1" x14ac:dyDescent="0.4">
      <c r="A66" s="30" t="str">
        <f t="shared" si="5"/>
        <v>modesg_param_sfcs_taxon_europeianome_specific_eligible</v>
      </c>
      <c r="B66" s="142" t="s">
        <v>26</v>
      </c>
      <c r="C66" s="138" t="s">
        <v>181</v>
      </c>
      <c r="D66" s="253" t="s">
        <v>40</v>
      </c>
      <c r="E66" s="254" t="s">
        <v>182</v>
      </c>
      <c r="F66" s="254"/>
      <c r="G66" s="253" t="s">
        <v>206</v>
      </c>
      <c r="H66" s="255" t="str">
        <f>VLOOKUP(A66,'2. Status Detalhe Campos'!$A$7:$G$574,7,0)</f>
        <v>2.1 Em Teste</v>
      </c>
      <c r="I66" s="229" t="s">
        <v>38</v>
      </c>
      <c r="J66" s="153">
        <v>45603</v>
      </c>
      <c r="K66" s="229"/>
      <c r="L66" s="280">
        <f t="array" ref="L66">MIN(IF(V66:CH66&gt;0,$V$16:$CH$16))</f>
        <v>45609</v>
      </c>
      <c r="M66" s="279">
        <f t="array" ref="M66">MAX(IF(V66:CH66&gt;0,$V$16:$CH$16))</f>
        <v>45609</v>
      </c>
      <c r="N66" s="277">
        <f>VLOOKUP(H66,Auxiliar!$B$16:$E$24,4,0)</f>
        <v>0.25</v>
      </c>
      <c r="O66" s="277">
        <f t="shared" ca="1" si="11"/>
        <v>1</v>
      </c>
      <c r="P66" s="276">
        <f t="shared" ca="1" si="6"/>
        <v>-0.75</v>
      </c>
      <c r="Q66" s="287" t="s">
        <v>38</v>
      </c>
      <c r="R66" s="230"/>
      <c r="S66" s="224">
        <v>0.6</v>
      </c>
      <c r="T66" s="224">
        <f t="shared" si="7"/>
        <v>0.1</v>
      </c>
      <c r="U66" s="224">
        <f t="shared" si="12"/>
        <v>0</v>
      </c>
      <c r="V66" s="79"/>
      <c r="W66" s="79"/>
      <c r="X66" s="79"/>
      <c r="Y66" s="79"/>
      <c r="Z66" s="79"/>
      <c r="AA66" s="79"/>
      <c r="AB66" s="79"/>
      <c r="AC66" s="92"/>
      <c r="AD66" s="79"/>
      <c r="AE66" s="79"/>
      <c r="AF66" s="79"/>
      <c r="AG66" s="231"/>
      <c r="AH66" s="79"/>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hidden="1" outlineLevel="1" x14ac:dyDescent="0.4">
      <c r="A67" s="30" t="str">
        <f t="shared" si="5"/>
        <v>modesg_param_sfcs_taxon_europeianome_specific_sustainable</v>
      </c>
      <c r="B67" s="142" t="s">
        <v>26</v>
      </c>
      <c r="C67" s="138" t="s">
        <v>181</v>
      </c>
      <c r="D67" s="253" t="s">
        <v>40</v>
      </c>
      <c r="E67" s="254" t="s">
        <v>182</v>
      </c>
      <c r="F67" s="254"/>
      <c r="G67" s="253" t="s">
        <v>207</v>
      </c>
      <c r="H67" s="255" t="str">
        <f>VLOOKUP(A67,'2. Status Detalhe Campos'!$A$7:$G$574,7,0)</f>
        <v>2.1 Em Teste</v>
      </c>
      <c r="I67" s="229" t="s">
        <v>38</v>
      </c>
      <c r="J67" s="153">
        <v>45603</v>
      </c>
      <c r="K67" s="229"/>
      <c r="L67" s="280">
        <f t="array" ref="L67">MIN(IF(V67:CH67&gt;0,$V$16:$CH$16))</f>
        <v>45609</v>
      </c>
      <c r="M67" s="279">
        <f t="array" ref="M67">MAX(IF(V67:CH67&gt;0,$V$16:$CH$16))</f>
        <v>45609</v>
      </c>
      <c r="N67" s="277">
        <f>VLOOKUP(H67,Auxiliar!$B$16:$E$24,4,0)</f>
        <v>0.25</v>
      </c>
      <c r="O67" s="277">
        <f t="shared" ca="1" si="11"/>
        <v>1</v>
      </c>
      <c r="P67" s="276">
        <f t="shared" ca="1" si="6"/>
        <v>-0.75</v>
      </c>
      <c r="Q67" s="287" t="s">
        <v>38</v>
      </c>
      <c r="R67" s="230"/>
      <c r="S67" s="224">
        <v>0.6</v>
      </c>
      <c r="T67" s="224">
        <f t="shared" si="7"/>
        <v>0.1</v>
      </c>
      <c r="U67" s="224">
        <f t="shared" si="12"/>
        <v>0</v>
      </c>
      <c r="V67" s="79"/>
      <c r="W67" s="79"/>
      <c r="X67" s="79"/>
      <c r="Y67" s="79"/>
      <c r="Z67" s="79"/>
      <c r="AA67" s="79"/>
      <c r="AB67" s="79"/>
      <c r="AC67" s="92"/>
      <c r="AD67" s="79"/>
      <c r="AE67" s="79"/>
      <c r="AF67" s="79"/>
      <c r="AG67" s="231"/>
      <c r="AH67" s="79"/>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hidden="1" outlineLevel="1" x14ac:dyDescent="0.4">
      <c r="A68" s="30" t="str">
        <f t="shared" si="5"/>
        <v>modesg_param_sfcs_taxon_europeiazcliente</v>
      </c>
      <c r="B68" s="142" t="s">
        <v>26</v>
      </c>
      <c r="C68" s="138" t="s">
        <v>181</v>
      </c>
      <c r="D68" s="253" t="s">
        <v>40</v>
      </c>
      <c r="E68" s="254" t="s">
        <v>182</v>
      </c>
      <c r="F68" s="254"/>
      <c r="G68" s="253" t="s">
        <v>209</v>
      </c>
      <c r="H68" s="255" t="str">
        <f>VLOOKUP(A68,'2. Status Detalhe Campos'!$A$7:$G$574,7,0)</f>
        <v>2.1 Em Teste</v>
      </c>
      <c r="I68" s="229" t="s">
        <v>38</v>
      </c>
      <c r="J68" s="153">
        <v>45603</v>
      </c>
      <c r="K68" s="229"/>
      <c r="L68" s="280">
        <f t="array" ref="L68">MIN(IF(V68:CH68&gt;0,$V$16:$CH$16))</f>
        <v>45609</v>
      </c>
      <c r="M68" s="279">
        <f t="array" ref="M68">MAX(IF(V68:CH68&gt;0,$V$16:$CH$16))</f>
        <v>45609</v>
      </c>
      <c r="N68" s="277">
        <f>VLOOKUP(H68,Auxiliar!$B$16:$E$24,4,0)</f>
        <v>0.25</v>
      </c>
      <c r="O68" s="277">
        <f t="shared" ca="1" si="11"/>
        <v>1</v>
      </c>
      <c r="P68" s="276">
        <f t="shared" ca="1" si="6"/>
        <v>-0.75</v>
      </c>
      <c r="Q68" s="287" t="s">
        <v>38</v>
      </c>
      <c r="R68" s="230"/>
      <c r="S68" s="224">
        <v>0.6</v>
      </c>
      <c r="T68" s="224">
        <f t="shared" si="7"/>
        <v>0.1</v>
      </c>
      <c r="U68" s="224">
        <f t="shared" si="12"/>
        <v>0</v>
      </c>
      <c r="V68" s="79"/>
      <c r="W68" s="79"/>
      <c r="X68" s="79"/>
      <c r="Y68" s="79"/>
      <c r="Z68" s="79"/>
      <c r="AA68" s="79"/>
      <c r="AB68" s="79"/>
      <c r="AC68" s="92"/>
      <c r="AD68" s="79"/>
      <c r="AE68" s="79"/>
      <c r="AF68" s="79"/>
      <c r="AG68" s="231"/>
      <c r="AH68" s="79"/>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hidden="1" outlineLevel="1" x14ac:dyDescent="0.4">
      <c r="A69" s="30" t="str">
        <f t="shared" si="5"/>
        <v>modesg_param_sfcs_taxon_europeiazdeposit</v>
      </c>
      <c r="B69" s="142" t="s">
        <v>26</v>
      </c>
      <c r="C69" s="138" t="s">
        <v>181</v>
      </c>
      <c r="D69" s="253" t="s">
        <v>40</v>
      </c>
      <c r="E69" s="254" t="s">
        <v>182</v>
      </c>
      <c r="F69" s="254"/>
      <c r="G69" s="253" t="s">
        <v>210</v>
      </c>
      <c r="H69" s="255" t="str">
        <f>VLOOKUP(A69,'2. Status Detalhe Campos'!$A$7:$G$574,7,0)</f>
        <v>2.1 Em Teste</v>
      </c>
      <c r="I69" s="229" t="s">
        <v>38</v>
      </c>
      <c r="J69" s="153">
        <v>45603</v>
      </c>
      <c r="K69" s="229"/>
      <c r="L69" s="280">
        <f t="array" ref="L69">MIN(IF(V69:CH69&gt;0,$V$16:$CH$16))</f>
        <v>45609</v>
      </c>
      <c r="M69" s="279">
        <f t="array" ref="M69">MAX(IF(V69:CH69&gt;0,$V$16:$CH$16))</f>
        <v>45609</v>
      </c>
      <c r="N69" s="277">
        <f>VLOOKUP(H69,Auxiliar!$B$16:$E$24,4,0)</f>
        <v>0.25</v>
      </c>
      <c r="O69" s="277">
        <f t="shared" ca="1" si="11"/>
        <v>1</v>
      </c>
      <c r="P69" s="276">
        <f t="shared" ca="1" si="6"/>
        <v>-0.75</v>
      </c>
      <c r="Q69" s="287" t="s">
        <v>38</v>
      </c>
      <c r="R69" s="230"/>
      <c r="S69" s="224">
        <v>0.6</v>
      </c>
      <c r="T69" s="224">
        <f t="shared" si="7"/>
        <v>0.1</v>
      </c>
      <c r="U69" s="224">
        <f t="shared" si="12"/>
        <v>0</v>
      </c>
      <c r="V69" s="79"/>
      <c r="W69" s="79"/>
      <c r="X69" s="79"/>
      <c r="Y69" s="79"/>
      <c r="Z69" s="79"/>
      <c r="AA69" s="79"/>
      <c r="AB69" s="79"/>
      <c r="AC69" s="92"/>
      <c r="AD69" s="79"/>
      <c r="AE69" s="79"/>
      <c r="AF69" s="79"/>
      <c r="AG69" s="231"/>
      <c r="AH69" s="79"/>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ollapsed="1" x14ac:dyDescent="0.4">
      <c r="A70" s="30"/>
      <c r="B70" s="142" t="s">
        <v>26</v>
      </c>
      <c r="C70" s="138" t="s">
        <v>311</v>
      </c>
      <c r="D70" s="134"/>
      <c r="E70" s="260" t="s">
        <v>312</v>
      </c>
      <c r="F70" s="260" t="s">
        <v>1989</v>
      </c>
      <c r="G70" s="261">
        <f>COUNTA(G71:G78)</f>
        <v>8</v>
      </c>
      <c r="H70" s="136"/>
      <c r="I70" s="229" t="s">
        <v>38</v>
      </c>
      <c r="J70" s="258">
        <f>MIN(J71:J78)</f>
        <v>45600</v>
      </c>
      <c r="K70" s="259">
        <f>MIN(K71:K78)</f>
        <v>45601</v>
      </c>
      <c r="L70" s="258">
        <f>MIN(L71:L78)</f>
        <v>45602</v>
      </c>
      <c r="M70" s="259">
        <f>MAX(M71:M78)</f>
        <v>45608</v>
      </c>
      <c r="N70" s="282">
        <f>SUMPRODUCT(N71:N78,T71:T78)/SUM(T71:T78)</f>
        <v>0.4</v>
      </c>
      <c r="O70" s="282">
        <f ca="1">SUMPRODUCT(O71:O86,T71:T86)/SUM(T71:T86)</f>
        <v>0.41666666666666669</v>
      </c>
      <c r="P70" s="276">
        <f t="shared" ca="1" si="6"/>
        <v>-1.6666666666666663E-2</v>
      </c>
      <c r="Q70" s="287" t="s">
        <v>2027</v>
      </c>
      <c r="R70" s="230"/>
      <c r="S70" s="224"/>
      <c r="T70" s="224"/>
      <c r="U70" s="224"/>
      <c r="V70" s="79"/>
      <c r="W70" s="79"/>
      <c r="X70" s="79"/>
      <c r="Y70" s="79"/>
      <c r="Z70" s="79"/>
      <c r="AA70" s="79"/>
      <c r="AB70" s="79"/>
      <c r="AC70" s="92"/>
      <c r="AD70" s="231"/>
      <c r="AE70" s="227"/>
      <c r="AF70" s="79"/>
      <c r="AG70" s="79"/>
      <c r="AH70" s="79"/>
      <c r="AI70" s="79"/>
      <c r="AJ70" s="79"/>
      <c r="AK70" s="79"/>
      <c r="AL70" s="79"/>
      <c r="AM70" s="266"/>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hidden="1" outlineLevel="1" x14ac:dyDescent="0.4">
      <c r="A71" s="30" t="str">
        <f t="shared" ref="A71:A78" si="13">E71&amp;G71</f>
        <v>modesg_out_bens_imoveisorigem_scp1_emss</v>
      </c>
      <c r="B71" s="142" t="s">
        <v>26</v>
      </c>
      <c r="C71" s="138" t="s">
        <v>311</v>
      </c>
      <c r="D71" s="253" t="s">
        <v>40</v>
      </c>
      <c r="E71" s="254" t="s">
        <v>312</v>
      </c>
      <c r="F71" s="254"/>
      <c r="G71" s="253" t="s">
        <v>320</v>
      </c>
      <c r="H71" s="255" t="str">
        <f>VLOOKUP(A71,'2. Status Detalhe Campos'!$A$7:$G$574,7,0)</f>
        <v>2.1 Em Teste</v>
      </c>
      <c r="I71" s="229" t="s">
        <v>38</v>
      </c>
      <c r="J71" s="153">
        <v>45600</v>
      </c>
      <c r="K71" s="229">
        <v>45601</v>
      </c>
      <c r="L71" s="280">
        <f t="array" ref="L71">MIN(IF(V71:CH71&gt;0,$V$16:$CH$16))</f>
        <v>45602</v>
      </c>
      <c r="M71" s="279">
        <f t="array" ref="M71">MAX(IF(V71:CH71&gt;0,$V$16:$CH$16))</f>
        <v>45602</v>
      </c>
      <c r="N71" s="277">
        <f>VLOOKUP(H71,Auxiliar!$B$16:$E$24,4,0)</f>
        <v>0.25</v>
      </c>
      <c r="O71" s="277">
        <f t="shared" ref="O71:O78" ca="1" si="14">IF(TODAY()&lt;=L71,0,MIN((TODAY()-L71)/(M71-L71+1),100%))</f>
        <v>1</v>
      </c>
      <c r="P71" s="276">
        <f t="shared" ca="1" si="6"/>
        <v>-0.75</v>
      </c>
      <c r="Q71" s="276"/>
      <c r="R71" s="230" t="s">
        <v>1961</v>
      </c>
      <c r="S71" s="224">
        <v>4.0999999999999996</v>
      </c>
      <c r="T71" s="224">
        <f t="shared" ref="T71:T78" si="15">ROUND(S71/8,1)</f>
        <v>0.5</v>
      </c>
      <c r="U71" s="224">
        <f t="shared" ref="U71:U78" si="16">SUM(V71:CH71)-T71</f>
        <v>0</v>
      </c>
      <c r="V71" s="79"/>
      <c r="W71" s="79"/>
      <c r="X71" s="79"/>
      <c r="Y71" s="79"/>
      <c r="Z71" s="79"/>
      <c r="AA71" s="79"/>
      <c r="AB71" s="79"/>
      <c r="AC71" s="92"/>
      <c r="AD71" s="231"/>
      <c r="AE71" s="227"/>
      <c r="AF71" s="79">
        <v>0.5</v>
      </c>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hidden="1" outlineLevel="1" x14ac:dyDescent="0.4">
      <c r="A72" s="30" t="str">
        <f t="shared" si="13"/>
        <v>modesg_out_bens_imoveisorigem_scp2_emss</v>
      </c>
      <c r="B72" s="142" t="s">
        <v>26</v>
      </c>
      <c r="C72" s="138" t="s">
        <v>311</v>
      </c>
      <c r="D72" s="253" t="s">
        <v>40</v>
      </c>
      <c r="E72" s="254" t="s">
        <v>312</v>
      </c>
      <c r="F72" s="254"/>
      <c r="G72" s="253" t="s">
        <v>321</v>
      </c>
      <c r="H72" s="255" t="str">
        <f>VLOOKUP(A72,'2. Status Detalhe Campos'!$A$7:$G$574,7,0)</f>
        <v>2.1 Em Teste</v>
      </c>
      <c r="I72" s="229" t="s">
        <v>38</v>
      </c>
      <c r="J72" s="153">
        <v>45600</v>
      </c>
      <c r="K72" s="229">
        <v>45601</v>
      </c>
      <c r="L72" s="280">
        <f t="array" ref="L72">MIN(IF(V72:CH72&gt;0,$V$16:$CH$16))</f>
        <v>45602</v>
      </c>
      <c r="M72" s="279">
        <f t="array" ref="M72">MAX(IF(V72:CH72&gt;0,$V$16:$CH$16))</f>
        <v>45602</v>
      </c>
      <c r="N72" s="277">
        <f>VLOOKUP(H72,Auxiliar!$B$16:$E$24,4,0)</f>
        <v>0.25</v>
      </c>
      <c r="O72" s="277">
        <f t="shared" ca="1" si="14"/>
        <v>1</v>
      </c>
      <c r="P72" s="276">
        <f t="shared" ca="1" si="6"/>
        <v>-0.75</v>
      </c>
      <c r="Q72" s="276"/>
      <c r="R72" s="230" t="s">
        <v>1961</v>
      </c>
      <c r="S72" s="224">
        <v>4.0999999999999996</v>
      </c>
      <c r="T72" s="224">
        <f t="shared" si="15"/>
        <v>0.5</v>
      </c>
      <c r="U72" s="224">
        <f t="shared" si="16"/>
        <v>0</v>
      </c>
      <c r="V72" s="79"/>
      <c r="W72" s="79"/>
      <c r="X72" s="79"/>
      <c r="Y72" s="79"/>
      <c r="Z72" s="79"/>
      <c r="AA72" s="79"/>
      <c r="AB72" s="79"/>
      <c r="AC72" s="92"/>
      <c r="AD72" s="231"/>
      <c r="AE72" s="227"/>
      <c r="AF72" s="79">
        <v>0.5</v>
      </c>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hidden="1" outlineLevel="1" x14ac:dyDescent="0.4">
      <c r="A73" s="30" t="str">
        <f t="shared" si="13"/>
        <v>modesg_out_bens_imoveisorigem_scp3_emss</v>
      </c>
      <c r="B73" s="142" t="s">
        <v>26</v>
      </c>
      <c r="C73" s="138" t="s">
        <v>311</v>
      </c>
      <c r="D73" s="253" t="s">
        <v>40</v>
      </c>
      <c r="E73" s="254" t="s">
        <v>312</v>
      </c>
      <c r="F73" s="254"/>
      <c r="G73" s="253" t="s">
        <v>322</v>
      </c>
      <c r="H73" s="255" t="str">
        <f>VLOOKUP(A73,'2. Status Detalhe Campos'!$A$7:$G$574,7,0)</f>
        <v>1. Concluído</v>
      </c>
      <c r="I73" s="229" t="s">
        <v>38</v>
      </c>
      <c r="J73" s="153">
        <v>45600</v>
      </c>
      <c r="K73" s="229">
        <v>45601</v>
      </c>
      <c r="L73" s="280">
        <f t="array" ref="L73">MIN(IF(V73:CH73&gt;0,$V$16:$CH$16))</f>
        <v>45603</v>
      </c>
      <c r="M73" s="279">
        <f t="array" ref="M73">MAX(IF(V73:CH73&gt;0,$V$16:$CH$16))</f>
        <v>45603</v>
      </c>
      <c r="N73" s="277">
        <f>VLOOKUP(H73,Auxiliar!$B$16:$E$24,4,0)</f>
        <v>1</v>
      </c>
      <c r="O73" s="277">
        <f t="shared" ca="1" si="14"/>
        <v>1</v>
      </c>
      <c r="P73" s="276">
        <f t="shared" ca="1" si="6"/>
        <v>0</v>
      </c>
      <c r="Q73" s="276"/>
      <c r="R73" s="230" t="s">
        <v>1961</v>
      </c>
      <c r="S73" s="224">
        <v>4.0999999999999996</v>
      </c>
      <c r="T73" s="224">
        <f t="shared" si="15"/>
        <v>0.5</v>
      </c>
      <c r="U73" s="224">
        <f t="shared" si="16"/>
        <v>0</v>
      </c>
      <c r="V73" s="79"/>
      <c r="W73" s="79"/>
      <c r="X73" s="79"/>
      <c r="Y73" s="79"/>
      <c r="Z73" s="79"/>
      <c r="AA73" s="79"/>
      <c r="AB73" s="79"/>
      <c r="AC73" s="92"/>
      <c r="AD73" s="231"/>
      <c r="AE73" s="227"/>
      <c r="AF73" s="79"/>
      <c r="AG73" s="79">
        <v>0.5</v>
      </c>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hidden="1" outlineLevel="1" x14ac:dyDescent="0.4">
      <c r="A74" s="30" t="str">
        <f t="shared" si="13"/>
        <v>modesg_out_bens_imoveisscp1_emss</v>
      </c>
      <c r="B74" s="142" t="s">
        <v>26</v>
      </c>
      <c r="C74" s="138" t="s">
        <v>311</v>
      </c>
      <c r="D74" s="253" t="s">
        <v>40</v>
      </c>
      <c r="E74" s="254" t="s">
        <v>312</v>
      </c>
      <c r="F74" s="254"/>
      <c r="G74" s="253" t="s">
        <v>286</v>
      </c>
      <c r="H74" s="255" t="str">
        <f>VLOOKUP(A74,'2. Status Detalhe Campos'!$A$7:$G$574,7,0)</f>
        <v>2.1 Em Teste</v>
      </c>
      <c r="I74" s="229" t="s">
        <v>38</v>
      </c>
      <c r="J74" s="153">
        <v>45600</v>
      </c>
      <c r="K74" s="229">
        <v>45601</v>
      </c>
      <c r="L74" s="280">
        <f t="array" ref="L74">MIN(IF(V74:CH74&gt;0,$V$16:$CH$16))</f>
        <v>45603</v>
      </c>
      <c r="M74" s="279">
        <f t="array" ref="M74">MAX(IF(V74:CH74&gt;0,$V$16:$CH$16))</f>
        <v>45604</v>
      </c>
      <c r="N74" s="277">
        <f>VLOOKUP(H74,Auxiliar!$B$16:$E$24,4,0)</f>
        <v>0.25</v>
      </c>
      <c r="O74" s="277">
        <f t="shared" ca="1" si="14"/>
        <v>1</v>
      </c>
      <c r="P74" s="276">
        <f t="shared" ca="1" si="6"/>
        <v>-0.75</v>
      </c>
      <c r="Q74" s="276"/>
      <c r="R74" s="230" t="s">
        <v>1961</v>
      </c>
      <c r="S74" s="224">
        <v>8.1</v>
      </c>
      <c r="T74" s="224">
        <f t="shared" si="15"/>
        <v>1</v>
      </c>
      <c r="U74" s="224">
        <f t="shared" si="16"/>
        <v>0</v>
      </c>
      <c r="V74" s="79"/>
      <c r="W74" s="79"/>
      <c r="X74" s="79"/>
      <c r="Y74" s="79"/>
      <c r="Z74" s="79"/>
      <c r="AA74" s="79"/>
      <c r="AB74" s="79"/>
      <c r="AC74" s="92"/>
      <c r="AD74" s="231"/>
      <c r="AE74" s="227"/>
      <c r="AF74" s="79"/>
      <c r="AG74" s="79">
        <v>0.5</v>
      </c>
      <c r="AH74" s="79">
        <v>0.5</v>
      </c>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hidden="1" outlineLevel="1" x14ac:dyDescent="0.4">
      <c r="A75" s="30" t="str">
        <f t="shared" si="13"/>
        <v>modesg_out_bens_imoveisscp2_emss</v>
      </c>
      <c r="B75" s="142" t="s">
        <v>26</v>
      </c>
      <c r="C75" s="138" t="s">
        <v>311</v>
      </c>
      <c r="D75" s="253" t="s">
        <v>40</v>
      </c>
      <c r="E75" s="254" t="s">
        <v>312</v>
      </c>
      <c r="F75" s="254"/>
      <c r="G75" s="253" t="s">
        <v>287</v>
      </c>
      <c r="H75" s="255" t="str">
        <f>VLOOKUP(A75,'2. Status Detalhe Campos'!$A$7:$G$574,7,0)</f>
        <v>2.1 Em Teste</v>
      </c>
      <c r="I75" s="229" t="s">
        <v>38</v>
      </c>
      <c r="J75" s="153">
        <v>45600</v>
      </c>
      <c r="K75" s="229">
        <v>45601</v>
      </c>
      <c r="L75" s="280">
        <f t="array" ref="L75">MIN(IF(V75:CH75&gt;0,$V$16:$CH$16))</f>
        <v>45604</v>
      </c>
      <c r="M75" s="279">
        <f t="array" ref="M75">MAX(IF(V75:CH75&gt;0,$V$16:$CH$16))</f>
        <v>45607</v>
      </c>
      <c r="N75" s="277">
        <f>VLOOKUP(H75,Auxiliar!$B$16:$E$24,4,0)</f>
        <v>0.25</v>
      </c>
      <c r="O75" s="277">
        <f t="shared" ca="1" si="14"/>
        <v>1</v>
      </c>
      <c r="P75" s="276">
        <f t="shared" ca="1" si="6"/>
        <v>-0.75</v>
      </c>
      <c r="Q75" s="276"/>
      <c r="R75" s="230" t="s">
        <v>1961</v>
      </c>
      <c r="S75" s="224">
        <v>8.1</v>
      </c>
      <c r="T75" s="224">
        <f t="shared" si="15"/>
        <v>1</v>
      </c>
      <c r="U75" s="224">
        <f t="shared" si="16"/>
        <v>0</v>
      </c>
      <c r="V75" s="79"/>
      <c r="W75" s="79"/>
      <c r="X75" s="79"/>
      <c r="Y75" s="79"/>
      <c r="Z75" s="79"/>
      <c r="AA75" s="79"/>
      <c r="AB75" s="79"/>
      <c r="AC75" s="92"/>
      <c r="AD75" s="231"/>
      <c r="AE75" s="227"/>
      <c r="AF75" s="79"/>
      <c r="AG75" s="79"/>
      <c r="AH75" s="79">
        <v>0.5</v>
      </c>
      <c r="AI75" s="79">
        <v>0.5</v>
      </c>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hidden="1" outlineLevel="1" x14ac:dyDescent="0.4">
      <c r="A76" s="30" t="str">
        <f t="shared" si="13"/>
        <v>modesg_out_bens_imoveisunidade_funcional_scp1_emss</v>
      </c>
      <c r="B76" s="142" t="s">
        <v>26</v>
      </c>
      <c r="C76" s="138" t="s">
        <v>311</v>
      </c>
      <c r="D76" s="253" t="s">
        <v>40</v>
      </c>
      <c r="E76" s="254" t="s">
        <v>312</v>
      </c>
      <c r="F76" s="254"/>
      <c r="G76" s="253" t="s">
        <v>323</v>
      </c>
      <c r="H76" s="255" t="str">
        <f>VLOOKUP(A76,'2. Status Detalhe Campos'!$A$7:$G$574,7,0)</f>
        <v>2.1 Em Teste</v>
      </c>
      <c r="I76" s="229" t="s">
        <v>38</v>
      </c>
      <c r="J76" s="153">
        <v>45600</v>
      </c>
      <c r="K76" s="229">
        <v>45601</v>
      </c>
      <c r="L76" s="280">
        <f t="array" ref="L76">MIN(IF(V76:CH76&gt;0,$V$16:$CH$16))</f>
        <v>45607</v>
      </c>
      <c r="M76" s="279">
        <f t="array" ref="M76">MAX(IF(V76:CH76&gt;0,$V$16:$CH$16))</f>
        <v>45607</v>
      </c>
      <c r="N76" s="277">
        <f>VLOOKUP(H76,Auxiliar!$B$16:$E$24,4,0)</f>
        <v>0.25</v>
      </c>
      <c r="O76" s="277">
        <f t="shared" ca="1" si="14"/>
        <v>1</v>
      </c>
      <c r="P76" s="276">
        <f t="shared" ca="1" si="6"/>
        <v>-0.75</v>
      </c>
      <c r="Q76" s="276"/>
      <c r="R76" s="230" t="s">
        <v>1961</v>
      </c>
      <c r="S76" s="224">
        <v>4.0999999999999996</v>
      </c>
      <c r="T76" s="224">
        <f t="shared" si="15"/>
        <v>0.5</v>
      </c>
      <c r="U76" s="224">
        <f t="shared" si="16"/>
        <v>0</v>
      </c>
      <c r="V76" s="79"/>
      <c r="W76" s="79"/>
      <c r="X76" s="79"/>
      <c r="Y76" s="79"/>
      <c r="Z76" s="79"/>
      <c r="AA76" s="79"/>
      <c r="AB76" s="79"/>
      <c r="AC76" s="92"/>
      <c r="AD76" s="231"/>
      <c r="AE76" s="227"/>
      <c r="AF76" s="79"/>
      <c r="AG76" s="79"/>
      <c r="AH76" s="79"/>
      <c r="AI76" s="79">
        <v>0.5</v>
      </c>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hidden="1" outlineLevel="1" x14ac:dyDescent="0.4">
      <c r="A77" s="30" t="str">
        <f t="shared" si="13"/>
        <v>modesg_out_bens_imoveisunidade_funcional_scp2_emss</v>
      </c>
      <c r="B77" s="142" t="s">
        <v>26</v>
      </c>
      <c r="C77" s="138" t="s">
        <v>311</v>
      </c>
      <c r="D77" s="253" t="s">
        <v>40</v>
      </c>
      <c r="E77" s="254" t="s">
        <v>312</v>
      </c>
      <c r="F77" s="254"/>
      <c r="G77" s="253" t="s">
        <v>324</v>
      </c>
      <c r="H77" s="255" t="str">
        <f>VLOOKUP(A77,'2. Status Detalhe Campos'!$A$7:$G$574,7,0)</f>
        <v>2.1 Em Teste</v>
      </c>
      <c r="I77" s="229" t="s">
        <v>38</v>
      </c>
      <c r="J77" s="153">
        <v>45600</v>
      </c>
      <c r="K77" s="229">
        <v>45601</v>
      </c>
      <c r="L77" s="280">
        <f t="array" ref="L77">MIN(IF(V77:CH77&gt;0,$V$16:$CH$16))</f>
        <v>45608</v>
      </c>
      <c r="M77" s="279">
        <f t="array" ref="M77">MAX(IF(V77:CH77&gt;0,$V$16:$CH$16))</f>
        <v>45608</v>
      </c>
      <c r="N77" s="277">
        <f>VLOOKUP(H77,Auxiliar!$B$16:$E$24,4,0)</f>
        <v>0.25</v>
      </c>
      <c r="O77" s="277">
        <f t="shared" ca="1" si="14"/>
        <v>1</v>
      </c>
      <c r="P77" s="276">
        <f t="shared" ca="1" si="6"/>
        <v>-0.75</v>
      </c>
      <c r="Q77" s="276"/>
      <c r="R77" s="230" t="s">
        <v>1961</v>
      </c>
      <c r="S77" s="224">
        <v>4.0999999999999996</v>
      </c>
      <c r="T77" s="224">
        <f t="shared" si="15"/>
        <v>0.5</v>
      </c>
      <c r="U77" s="224">
        <f t="shared" si="16"/>
        <v>0</v>
      </c>
      <c r="V77" s="79"/>
      <c r="W77" s="79"/>
      <c r="X77" s="79"/>
      <c r="Y77" s="79"/>
      <c r="Z77" s="79"/>
      <c r="AA77" s="79"/>
      <c r="AB77" s="79"/>
      <c r="AC77" s="92"/>
      <c r="AD77" s="231"/>
      <c r="AE77" s="227"/>
      <c r="AF77" s="79"/>
      <c r="AG77" s="79"/>
      <c r="AH77" s="79"/>
      <c r="AI77" s="79"/>
      <c r="AJ77" s="79">
        <v>0.5</v>
      </c>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hidden="1" outlineLevel="1" x14ac:dyDescent="0.4">
      <c r="A78" s="30" t="str">
        <f t="shared" si="13"/>
        <v>modesg_out_bens_imoveisunidade_funcional_scp3_emss</v>
      </c>
      <c r="B78" s="142" t="s">
        <v>26</v>
      </c>
      <c r="C78" s="138" t="s">
        <v>311</v>
      </c>
      <c r="D78" s="253" t="s">
        <v>40</v>
      </c>
      <c r="E78" s="254" t="s">
        <v>312</v>
      </c>
      <c r="F78" s="254"/>
      <c r="G78" s="253" t="s">
        <v>325</v>
      </c>
      <c r="H78" s="255" t="str">
        <f>VLOOKUP(A78,'2. Status Detalhe Campos'!$A$7:$G$574,7,0)</f>
        <v>1. Concluído</v>
      </c>
      <c r="I78" s="229" t="s">
        <v>38</v>
      </c>
      <c r="J78" s="153">
        <v>45600</v>
      </c>
      <c r="K78" s="229">
        <v>45601</v>
      </c>
      <c r="L78" s="280">
        <f t="array" ref="L78">MIN(IF(V78:CH78&gt;0,$V$16:$CH$16))</f>
        <v>45608</v>
      </c>
      <c r="M78" s="279">
        <f t="array" ref="M78">MAX(IF(V78:CH78&gt;0,$V$16:$CH$16))</f>
        <v>45608</v>
      </c>
      <c r="N78" s="277">
        <f>VLOOKUP(H78,Auxiliar!$B$16:$E$24,4,0)</f>
        <v>1</v>
      </c>
      <c r="O78" s="277">
        <f t="shared" ca="1" si="14"/>
        <v>1</v>
      </c>
      <c r="P78" s="276">
        <f t="shared" ca="1" si="6"/>
        <v>0</v>
      </c>
      <c r="Q78" s="276"/>
      <c r="R78" s="230" t="s">
        <v>1961</v>
      </c>
      <c r="S78" s="224">
        <v>4.0999999999999996</v>
      </c>
      <c r="T78" s="224">
        <f t="shared" si="15"/>
        <v>0.5</v>
      </c>
      <c r="U78" s="224">
        <f t="shared" si="16"/>
        <v>0</v>
      </c>
      <c r="V78" s="79"/>
      <c r="W78" s="79"/>
      <c r="X78" s="79"/>
      <c r="Y78" s="79"/>
      <c r="Z78" s="79"/>
      <c r="AA78" s="79"/>
      <c r="AB78" s="79"/>
      <c r="AC78" s="92"/>
      <c r="AD78" s="231"/>
      <c r="AE78" s="227"/>
      <c r="AF78" s="79"/>
      <c r="AG78" s="79"/>
      <c r="AH78" s="79"/>
      <c r="AI78" s="79"/>
      <c r="AJ78" s="79">
        <v>0.5</v>
      </c>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ollapsed="1" x14ac:dyDescent="0.4">
      <c r="A79" s="30"/>
      <c r="B79" s="142" t="s">
        <v>26</v>
      </c>
      <c r="C79" s="138" t="s">
        <v>311</v>
      </c>
      <c r="D79" s="134"/>
      <c r="E79" s="260" t="s">
        <v>312</v>
      </c>
      <c r="F79" s="260" t="s">
        <v>2010</v>
      </c>
      <c r="G79" s="261">
        <f>COUNTA(G80:G83)</f>
        <v>4</v>
      </c>
      <c r="H79" s="136"/>
      <c r="I79" s="229" t="s">
        <v>38</v>
      </c>
      <c r="J79" s="258">
        <f>MIN(J80:J83)</f>
        <v>45621</v>
      </c>
      <c r="K79" s="229"/>
      <c r="L79" s="258">
        <f>MIN(L80:L83)</f>
        <v>45622</v>
      </c>
      <c r="M79" s="259">
        <f>MAX(M80:M83)</f>
        <v>45628</v>
      </c>
      <c r="N79" s="282">
        <f>SUMPRODUCT(N80:N83,T80:T83)/SUM(T80:T83)</f>
        <v>0</v>
      </c>
      <c r="O79" s="282">
        <f ca="1">SUMPRODUCT(O80:O83,T80:T83)/SUM(T80:T83)</f>
        <v>0</v>
      </c>
      <c r="P79" s="276">
        <f t="shared" ca="1" si="6"/>
        <v>0</v>
      </c>
      <c r="Q79" s="287" t="s">
        <v>38</v>
      </c>
      <c r="R79" s="230"/>
      <c r="S79" s="224"/>
      <c r="T79" s="224"/>
      <c r="U79" s="224"/>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1"/>
      <c r="AT79" s="79"/>
      <c r="AU79" s="79"/>
      <c r="AV79" s="79"/>
      <c r="AW79" s="79"/>
      <c r="AX79" s="79"/>
      <c r="AY79" s="79"/>
      <c r="AZ79" s="79"/>
      <c r="BA79" s="79"/>
      <c r="BB79" s="266"/>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hidden="1" outlineLevel="1" x14ac:dyDescent="0.4">
      <c r="A80" s="30" t="str">
        <f t="shared" si="5"/>
        <v>modesg_out_bens_imoveisflg_rsc_fsc_agd</v>
      </c>
      <c r="B80" s="142" t="s">
        <v>26</v>
      </c>
      <c r="C80" s="138" t="s">
        <v>311</v>
      </c>
      <c r="D80" s="253" t="s">
        <v>40</v>
      </c>
      <c r="E80" s="254" t="s">
        <v>312</v>
      </c>
      <c r="F80" s="254"/>
      <c r="G80" s="253" t="s">
        <v>283</v>
      </c>
      <c r="H80" s="255" t="str">
        <f>VLOOKUP(A80,'2. Status Detalhe Campos'!$A$7:$G$574,7,0)</f>
        <v>6. Em implementação (re-especificação)</v>
      </c>
      <c r="I80" s="229" t="s">
        <v>38</v>
      </c>
      <c r="J80" s="153">
        <v>45621</v>
      </c>
      <c r="K80" s="229"/>
      <c r="L80" s="280">
        <f t="array" ref="L80">MIN(IF(V80:CH80&gt;0,$V$16:$CH$16))</f>
        <v>45622</v>
      </c>
      <c r="M80" s="279">
        <f t="array" ref="M80">MAX(IF(V80:CH80&gt;0,$V$16:$CH$16))</f>
        <v>45623</v>
      </c>
      <c r="N80" s="277">
        <f>VLOOKUP(H80,Auxiliar!$B$16:$E$24,4,0)</f>
        <v>0</v>
      </c>
      <c r="O80" s="277">
        <f t="shared" ref="O80:O83" ca="1" si="17">IF(TODAY()&lt;=L80,0,MIN((TODAY()-L80)/(M80-L80+1),100%))</f>
        <v>0</v>
      </c>
      <c r="P80" s="276">
        <f t="shared" ca="1" si="6"/>
        <v>0</v>
      </c>
      <c r="Q80" s="287" t="s">
        <v>38</v>
      </c>
      <c r="R80" s="230"/>
      <c r="S80" s="224">
        <v>16.100000000000001</v>
      </c>
      <c r="T80" s="224">
        <f t="shared" si="7"/>
        <v>2</v>
      </c>
      <c r="U80" s="224">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1"/>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hidden="1" outlineLevel="1" x14ac:dyDescent="0.4">
      <c r="A81" s="30" t="str">
        <f t="shared" si="5"/>
        <v>modesg_out_bens_imoveisflg_rsc_fsc_crnc</v>
      </c>
      <c r="B81" s="142" t="s">
        <v>26</v>
      </c>
      <c r="C81" s="138" t="s">
        <v>311</v>
      </c>
      <c r="D81" s="253" t="s">
        <v>40</v>
      </c>
      <c r="E81" s="254" t="s">
        <v>312</v>
      </c>
      <c r="F81" s="254"/>
      <c r="G81" s="253" t="s">
        <v>284</v>
      </c>
      <c r="H81" s="255" t="str">
        <f>VLOOKUP(A81,'2. Status Detalhe Campos'!$A$7:$G$574,7,0)</f>
        <v>6. Em implementação (re-especificação)</v>
      </c>
      <c r="I81" s="229" t="s">
        <v>38</v>
      </c>
      <c r="J81" s="153">
        <v>45621</v>
      </c>
      <c r="K81" s="229"/>
      <c r="L81" s="280">
        <f t="array" ref="L81">MIN(IF(V81:CH81&gt;0,$V$16:$CH$16))</f>
        <v>45624</v>
      </c>
      <c r="M81" s="279">
        <f t="array" ref="M81">MAX(IF(V81:CH81&gt;0,$V$16:$CH$16))</f>
        <v>45625</v>
      </c>
      <c r="N81" s="277">
        <f>VLOOKUP(H81,Auxiliar!$B$16:$E$24,4,0)</f>
        <v>0</v>
      </c>
      <c r="O81" s="277">
        <f t="shared" ca="1" si="17"/>
        <v>0</v>
      </c>
      <c r="P81" s="276">
        <f t="shared" ca="1" si="6"/>
        <v>0</v>
      </c>
      <c r="Q81" s="287" t="s">
        <v>38</v>
      </c>
      <c r="R81" s="230"/>
      <c r="S81" s="224">
        <v>16.100000000000001</v>
      </c>
      <c r="T81" s="224">
        <f t="shared" si="7"/>
        <v>2</v>
      </c>
      <c r="U81" s="224">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1"/>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hidden="1" outlineLevel="1" x14ac:dyDescent="0.4">
      <c r="A82" s="30" t="str">
        <f t="shared" si="5"/>
        <v>modesg_out_bens_imoveisorigem_flg_rsc_fsc_agd</v>
      </c>
      <c r="B82" s="142" t="s">
        <v>26</v>
      </c>
      <c r="C82" s="138" t="s">
        <v>311</v>
      </c>
      <c r="D82" s="253" t="s">
        <v>40</v>
      </c>
      <c r="E82" s="254" t="s">
        <v>312</v>
      </c>
      <c r="F82" s="254"/>
      <c r="G82" s="253" t="s">
        <v>318</v>
      </c>
      <c r="H82" s="255" t="str">
        <f>VLOOKUP(A82,'2. Status Detalhe Campos'!$A$7:$G$574,7,0)</f>
        <v>6. Em implementação (re-especificação)</v>
      </c>
      <c r="I82" s="229" t="s">
        <v>38</v>
      </c>
      <c r="J82" s="153">
        <v>45621</v>
      </c>
      <c r="K82" s="229"/>
      <c r="L82" s="280">
        <f t="array" ref="L82">MIN(IF(V82:CH82&gt;0,$V$16:$CH$16))</f>
        <v>45628</v>
      </c>
      <c r="M82" s="279">
        <f t="array" ref="M82">MAX(IF(V82:CH82&gt;0,$V$16:$CH$16))</f>
        <v>45628</v>
      </c>
      <c r="N82" s="277">
        <f>VLOOKUP(H82,Auxiliar!$B$16:$E$24,4,0)</f>
        <v>0</v>
      </c>
      <c r="O82" s="277">
        <f t="shared" ca="1" si="17"/>
        <v>0</v>
      </c>
      <c r="P82" s="276">
        <f t="shared" ref="P82:P145" ca="1" si="18">N82-O82</f>
        <v>0</v>
      </c>
      <c r="Q82" s="287" t="s">
        <v>38</v>
      </c>
      <c r="R82" s="230"/>
      <c r="S82" s="224">
        <v>4.0999999999999996</v>
      </c>
      <c r="T82" s="224">
        <f t="shared" si="7"/>
        <v>0.5</v>
      </c>
      <c r="U82" s="224">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1"/>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hidden="1" outlineLevel="1" x14ac:dyDescent="0.4">
      <c r="A83" s="30" t="str">
        <f t="shared" si="5"/>
        <v>modesg_out_bens_imoveisorigem_flg_rsc_fsc_crnc</v>
      </c>
      <c r="B83" s="142" t="s">
        <v>26</v>
      </c>
      <c r="C83" s="138" t="s">
        <v>311</v>
      </c>
      <c r="D83" s="253" t="s">
        <v>40</v>
      </c>
      <c r="E83" s="254" t="s">
        <v>312</v>
      </c>
      <c r="F83" s="254"/>
      <c r="G83" s="253" t="s">
        <v>319</v>
      </c>
      <c r="H83" s="255" t="str">
        <f>VLOOKUP(A83,'2. Status Detalhe Campos'!$A$7:$G$574,7,0)</f>
        <v>6. Em implementação (re-especificação)</v>
      </c>
      <c r="I83" s="229" t="s">
        <v>38</v>
      </c>
      <c r="J83" s="153">
        <v>45621</v>
      </c>
      <c r="K83" s="229"/>
      <c r="L83" s="280">
        <f t="array" ref="L83">MIN(IF(V83:CH83&gt;0,$V$16:$CH$16))</f>
        <v>45628</v>
      </c>
      <c r="M83" s="279">
        <f t="array" ref="M83">MAX(IF(V83:CH83&gt;0,$V$16:$CH$16))</f>
        <v>45628</v>
      </c>
      <c r="N83" s="277">
        <f>VLOOKUP(H83,Auxiliar!$B$16:$E$24,4,0)</f>
        <v>0</v>
      </c>
      <c r="O83" s="277">
        <f t="shared" ca="1" si="17"/>
        <v>0</v>
      </c>
      <c r="P83" s="276">
        <f t="shared" ca="1" si="18"/>
        <v>0</v>
      </c>
      <c r="Q83" s="287" t="s">
        <v>38</v>
      </c>
      <c r="R83" s="230"/>
      <c r="S83" s="224">
        <v>4.0999999999999996</v>
      </c>
      <c r="T83" s="224">
        <f t="shared" si="7"/>
        <v>0.5</v>
      </c>
      <c r="U83" s="224">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1"/>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ollapsed="1" x14ac:dyDescent="0.4">
      <c r="A84" s="30"/>
      <c r="B84" s="142" t="s">
        <v>26</v>
      </c>
      <c r="C84" s="138" t="s">
        <v>311</v>
      </c>
      <c r="D84" s="134"/>
      <c r="E84" s="260" t="s">
        <v>326</v>
      </c>
      <c r="F84" s="260" t="s">
        <v>1989</v>
      </c>
      <c r="G84" s="261">
        <f>COUNTA(G85:G104)</f>
        <v>20</v>
      </c>
      <c r="H84" s="136"/>
      <c r="I84" s="229" t="s">
        <v>38</v>
      </c>
      <c r="J84" s="258">
        <f>MIN(J85:J104)</f>
        <v>45614</v>
      </c>
      <c r="K84" s="229"/>
      <c r="L84" s="258">
        <f>MIN(L85:L104)</f>
        <v>45615</v>
      </c>
      <c r="M84" s="259">
        <f>MAX(M85:M104)</f>
        <v>45632</v>
      </c>
      <c r="N84" s="282">
        <f>SUMPRODUCT(N85:N104,T85:T104)/SUM(T85:T104)</f>
        <v>0</v>
      </c>
      <c r="O84" s="282">
        <f ca="1">SUMPRODUCT(O85:O104,T85:T104)/SUM(T85:T104)</f>
        <v>0</v>
      </c>
      <c r="P84" s="276">
        <f t="shared" ca="1" si="18"/>
        <v>0</v>
      </c>
      <c r="Q84" s="287" t="s">
        <v>38</v>
      </c>
      <c r="R84" s="230"/>
      <c r="S84" s="224"/>
      <c r="T84" s="224"/>
      <c r="U84" s="224"/>
      <c r="V84" s="79"/>
      <c r="W84" s="79"/>
      <c r="X84" s="79"/>
      <c r="Y84" s="79"/>
      <c r="Z84" s="79"/>
      <c r="AA84" s="79"/>
      <c r="AB84" s="79"/>
      <c r="AC84" s="92"/>
      <c r="AD84" s="79"/>
      <c r="AE84" s="79"/>
      <c r="AF84" s="79"/>
      <c r="AG84" s="79"/>
      <c r="AH84" s="79"/>
      <c r="AI84" s="79"/>
      <c r="AJ84" s="79"/>
      <c r="AK84" s="79"/>
      <c r="AL84" s="79"/>
      <c r="AM84" s="79"/>
      <c r="AN84" s="231"/>
      <c r="AO84" s="79"/>
      <c r="AP84" s="79"/>
      <c r="AQ84" s="79"/>
      <c r="AR84" s="79"/>
      <c r="AS84" s="79"/>
      <c r="AT84" s="79"/>
      <c r="AU84" s="79"/>
      <c r="AV84" s="79"/>
      <c r="AW84" s="79"/>
      <c r="AX84" s="79"/>
      <c r="AY84" s="79"/>
      <c r="AZ84" s="79"/>
      <c r="BA84" s="79"/>
      <c r="BB84" s="266"/>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hidden="1" outlineLevel="1" x14ac:dyDescent="0.4">
      <c r="A85" s="30" t="str">
        <f t="shared" si="5"/>
        <v>modesg_out_empr_info_nfincca_capex_enblng_algnd</v>
      </c>
      <c r="B85" s="142" t="s">
        <v>26</v>
      </c>
      <c r="C85" s="138" t="s">
        <v>311</v>
      </c>
      <c r="D85" s="253" t="s">
        <v>40</v>
      </c>
      <c r="E85" s="254" t="s">
        <v>326</v>
      </c>
      <c r="F85" s="254"/>
      <c r="G85" s="253" t="s">
        <v>250</v>
      </c>
      <c r="H85" s="255" t="str">
        <f>VLOOKUP(A85,'2. Status Detalhe Campos'!$A$7:$G$574,7,0)</f>
        <v>6. Em implementação (re-especificação)</v>
      </c>
      <c r="I85" s="229" t="s">
        <v>38</v>
      </c>
      <c r="J85" s="153">
        <v>45614</v>
      </c>
      <c r="K85" s="229"/>
      <c r="L85" s="280">
        <f t="array" ref="L85">MIN(IF(V85:CH85&gt;0,$V$16:$CH$16))</f>
        <v>45615</v>
      </c>
      <c r="M85" s="279">
        <f t="array" ref="M85">MAX(IF(V85:CH85&gt;0,$V$16:$CH$16))</f>
        <v>45615</v>
      </c>
      <c r="N85" s="277">
        <f>VLOOKUP(H85,Auxiliar!$B$16:$E$24,4,0)</f>
        <v>0</v>
      </c>
      <c r="O85" s="277">
        <f t="shared" ref="O85:O104" ca="1" si="19">IF(TODAY()&lt;=L85,0,MIN((TODAY()-L85)/(M85-L85+1),100%))</f>
        <v>0</v>
      </c>
      <c r="P85" s="276">
        <f t="shared" ca="1" si="18"/>
        <v>0</v>
      </c>
      <c r="Q85" s="287" t="s">
        <v>38</v>
      </c>
      <c r="R85" s="230"/>
      <c r="S85" s="224">
        <v>16.100000000000001</v>
      </c>
      <c r="T85" s="233">
        <v>1</v>
      </c>
      <c r="U85" s="224">
        <f t="shared" ref="U85:U104" si="20">SUM(V85:CH85)-T85</f>
        <v>0</v>
      </c>
      <c r="V85" s="79"/>
      <c r="W85" s="79"/>
      <c r="X85" s="79"/>
      <c r="Y85" s="79"/>
      <c r="Z85" s="79"/>
      <c r="AA85" s="79"/>
      <c r="AB85" s="79"/>
      <c r="AC85" s="92"/>
      <c r="AD85" s="79"/>
      <c r="AE85" s="79"/>
      <c r="AF85" s="79"/>
      <c r="AG85" s="79"/>
      <c r="AH85" s="79"/>
      <c r="AI85" s="79"/>
      <c r="AJ85" s="79"/>
      <c r="AK85" s="79"/>
      <c r="AL85" s="79"/>
      <c r="AM85" s="79"/>
      <c r="AN85" s="231"/>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hidden="1" outlineLevel="1" x14ac:dyDescent="0.4">
      <c r="A86" s="30" t="str">
        <f t="shared" si="5"/>
        <v>modesg_out_empr_info_nfincca_capex_own_prfrmnce_algnd</v>
      </c>
      <c r="B86" s="142" t="s">
        <v>26</v>
      </c>
      <c r="C86" s="138" t="s">
        <v>311</v>
      </c>
      <c r="D86" s="253" t="s">
        <v>40</v>
      </c>
      <c r="E86" s="254" t="s">
        <v>326</v>
      </c>
      <c r="F86" s="254"/>
      <c r="G86" s="253" t="s">
        <v>251</v>
      </c>
      <c r="H86" s="255" t="str">
        <f>VLOOKUP(A86,'2. Status Detalhe Campos'!$A$7:$G$574,7,0)</f>
        <v>6. Em implementação (re-especificação)</v>
      </c>
      <c r="I86" s="229" t="s">
        <v>38</v>
      </c>
      <c r="J86" s="153">
        <v>45614</v>
      </c>
      <c r="K86" s="229"/>
      <c r="L86" s="280">
        <f t="array" ref="L86">MIN(IF(V86:CH86&gt;0,$V$16:$CH$16))</f>
        <v>45616</v>
      </c>
      <c r="M86" s="279">
        <f t="array" ref="M86">MAX(IF(V86:CH86&gt;0,$V$16:$CH$16))</f>
        <v>45616</v>
      </c>
      <c r="N86" s="277">
        <f>VLOOKUP(H86,Auxiliar!$B$16:$E$24,4,0)</f>
        <v>0</v>
      </c>
      <c r="O86" s="277">
        <f t="shared" ca="1" si="19"/>
        <v>0</v>
      </c>
      <c r="P86" s="276">
        <f t="shared" ca="1" si="18"/>
        <v>0</v>
      </c>
      <c r="Q86" s="287" t="s">
        <v>38</v>
      </c>
      <c r="R86" s="230"/>
      <c r="S86" s="224">
        <v>16.100000000000001</v>
      </c>
      <c r="T86" s="233">
        <v>1</v>
      </c>
      <c r="U86" s="224">
        <f t="shared" si="20"/>
        <v>0</v>
      </c>
      <c r="V86" s="79"/>
      <c r="W86" s="79"/>
      <c r="X86" s="79"/>
      <c r="Y86" s="79"/>
      <c r="Z86" s="79"/>
      <c r="AA86" s="79"/>
      <c r="AB86" s="79"/>
      <c r="AC86" s="92"/>
      <c r="AD86" s="79"/>
      <c r="AE86" s="79"/>
      <c r="AF86" s="79"/>
      <c r="AG86" s="79"/>
      <c r="AH86" s="79"/>
      <c r="AI86" s="79"/>
      <c r="AJ86" s="79"/>
      <c r="AK86" s="79"/>
      <c r="AL86" s="79"/>
      <c r="AM86" s="79"/>
      <c r="AN86" s="231"/>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hidden="1" outlineLevel="1" x14ac:dyDescent="0.4">
      <c r="A87" s="30" t="str">
        <f t="shared" ref="A87:A168" si="21">E87&amp;G87</f>
        <v>modesg_out_empr_info_nfincca_capex_ttl_elgbl</v>
      </c>
      <c r="B87" s="142" t="s">
        <v>26</v>
      </c>
      <c r="C87" s="138" t="s">
        <v>311</v>
      </c>
      <c r="D87" s="253" t="s">
        <v>40</v>
      </c>
      <c r="E87" s="254" t="s">
        <v>326</v>
      </c>
      <c r="F87" s="254"/>
      <c r="G87" s="253" t="s">
        <v>249</v>
      </c>
      <c r="H87" s="255" t="str">
        <f>VLOOKUP(A87,'2. Status Detalhe Campos'!$A$7:$G$574,7,0)</f>
        <v>6. Em implementação (re-especificação)</v>
      </c>
      <c r="I87" s="229" t="s">
        <v>38</v>
      </c>
      <c r="J87" s="153">
        <v>45614</v>
      </c>
      <c r="K87" s="229"/>
      <c r="L87" s="280">
        <f t="array" ref="L87">MIN(IF(V87:CH87&gt;0,$V$16:$CH$16))</f>
        <v>45617</v>
      </c>
      <c r="M87" s="279">
        <f t="array" ref="M87">MAX(IF(V87:CH87&gt;0,$V$16:$CH$16))</f>
        <v>45617</v>
      </c>
      <c r="N87" s="277">
        <f>VLOOKUP(H87,Auxiliar!$B$16:$E$24,4,0)</f>
        <v>0</v>
      </c>
      <c r="O87" s="277">
        <f t="shared" ca="1" si="19"/>
        <v>0</v>
      </c>
      <c r="P87" s="276">
        <f t="shared" ca="1" si="18"/>
        <v>0</v>
      </c>
      <c r="Q87" s="287" t="s">
        <v>38</v>
      </c>
      <c r="R87" s="230"/>
      <c r="S87" s="224">
        <v>16.100000000000001</v>
      </c>
      <c r="T87" s="233">
        <v>1</v>
      </c>
      <c r="U87" s="224">
        <f t="shared" si="20"/>
        <v>0</v>
      </c>
      <c r="V87" s="79"/>
      <c r="W87" s="79"/>
      <c r="X87" s="79"/>
      <c r="Y87" s="79"/>
      <c r="Z87" s="79"/>
      <c r="AA87" s="79"/>
      <c r="AB87" s="79"/>
      <c r="AC87" s="92"/>
      <c r="AD87" s="79"/>
      <c r="AE87" s="79"/>
      <c r="AF87" s="79"/>
      <c r="AG87" s="79"/>
      <c r="AH87" s="79"/>
      <c r="AI87" s="79"/>
      <c r="AJ87" s="79"/>
      <c r="AK87" s="79"/>
      <c r="AL87" s="79"/>
      <c r="AM87" s="79"/>
      <c r="AN87" s="231"/>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hidden="1" outlineLevel="1" x14ac:dyDescent="0.4">
      <c r="A88" s="30" t="str">
        <f t="shared" si="21"/>
        <v>modesg_out_empr_info_nfincca_trnvr_enblng_alignd</v>
      </c>
      <c r="B88" s="142" t="s">
        <v>26</v>
      </c>
      <c r="C88" s="138" t="s">
        <v>311</v>
      </c>
      <c r="D88" s="253" t="s">
        <v>40</v>
      </c>
      <c r="E88" s="254" t="s">
        <v>326</v>
      </c>
      <c r="F88" s="254"/>
      <c r="G88" s="253" t="s">
        <v>247</v>
      </c>
      <c r="H88" s="255" t="str">
        <f>VLOOKUP(A88,'2. Status Detalhe Campos'!$A$7:$G$574,7,0)</f>
        <v>6. Em implementação (re-especificação)</v>
      </c>
      <c r="I88" s="229" t="s">
        <v>38</v>
      </c>
      <c r="J88" s="153">
        <v>45614</v>
      </c>
      <c r="K88" s="229"/>
      <c r="L88" s="280">
        <f t="array" ref="L88">MIN(IF(V88:CH88&gt;0,$V$16:$CH$16))</f>
        <v>45618</v>
      </c>
      <c r="M88" s="279">
        <f t="array" ref="M88">MAX(IF(V88:CH88&gt;0,$V$16:$CH$16))</f>
        <v>45618</v>
      </c>
      <c r="N88" s="277">
        <f>VLOOKUP(H88,Auxiliar!$B$16:$E$24,4,0)</f>
        <v>0</v>
      </c>
      <c r="O88" s="277">
        <f t="shared" ca="1" si="19"/>
        <v>0</v>
      </c>
      <c r="P88" s="276">
        <f t="shared" ca="1" si="18"/>
        <v>0</v>
      </c>
      <c r="Q88" s="287" t="s">
        <v>38</v>
      </c>
      <c r="R88" s="230"/>
      <c r="S88" s="234">
        <v>4</v>
      </c>
      <c r="T88" s="224">
        <f t="shared" ref="T88:T169" si="22">ROUND(S88/8,1)</f>
        <v>0.5</v>
      </c>
      <c r="U88" s="224">
        <f t="shared" si="20"/>
        <v>0</v>
      </c>
      <c r="V88" s="79"/>
      <c r="W88" s="79"/>
      <c r="X88" s="79"/>
      <c r="Y88" s="79"/>
      <c r="Z88" s="79"/>
      <c r="AA88" s="79"/>
      <c r="AB88" s="79"/>
      <c r="AC88" s="92"/>
      <c r="AD88" s="79"/>
      <c r="AE88" s="79"/>
      <c r="AF88" s="79"/>
      <c r="AG88" s="79"/>
      <c r="AH88" s="79"/>
      <c r="AI88" s="79"/>
      <c r="AJ88" s="79"/>
      <c r="AK88" s="79"/>
      <c r="AL88" s="79"/>
      <c r="AM88" s="79"/>
      <c r="AN88" s="231"/>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hidden="1" outlineLevel="1" x14ac:dyDescent="0.4">
      <c r="A89" s="30" t="str">
        <f t="shared" si="21"/>
        <v>modesg_out_empr_info_nfincca_trnvr_ttl_elgbl</v>
      </c>
      <c r="B89" s="142" t="s">
        <v>26</v>
      </c>
      <c r="C89" s="138" t="s">
        <v>311</v>
      </c>
      <c r="D89" s="253" t="s">
        <v>40</v>
      </c>
      <c r="E89" s="254" t="s">
        <v>326</v>
      </c>
      <c r="F89" s="254"/>
      <c r="G89" s="253" t="s">
        <v>246</v>
      </c>
      <c r="H89" s="255" t="str">
        <f>VLOOKUP(A89,'2. Status Detalhe Campos'!$A$7:$G$574,7,0)</f>
        <v>6. Em implementação (re-especificação)</v>
      </c>
      <c r="I89" s="229" t="s">
        <v>38</v>
      </c>
      <c r="J89" s="153">
        <v>45614</v>
      </c>
      <c r="K89" s="229"/>
      <c r="L89" s="280">
        <f t="array" ref="L89">MIN(IF(V89:CH89&gt;0,$V$16:$CH$16))</f>
        <v>45618</v>
      </c>
      <c r="M89" s="279">
        <f t="array" ref="M89">MAX(IF(V89:CH89&gt;0,$V$16:$CH$16))</f>
        <v>45618</v>
      </c>
      <c r="N89" s="277">
        <f>VLOOKUP(H89,Auxiliar!$B$16:$E$24,4,0)</f>
        <v>0</v>
      </c>
      <c r="O89" s="277">
        <f t="shared" ca="1" si="19"/>
        <v>0</v>
      </c>
      <c r="P89" s="276">
        <f t="shared" ca="1" si="18"/>
        <v>0</v>
      </c>
      <c r="Q89" s="287" t="s">
        <v>38</v>
      </c>
      <c r="R89" s="230"/>
      <c r="S89" s="234">
        <v>4</v>
      </c>
      <c r="T89" s="224">
        <f t="shared" si="22"/>
        <v>0.5</v>
      </c>
      <c r="U89" s="224">
        <f t="shared" si="20"/>
        <v>0</v>
      </c>
      <c r="V89" s="79"/>
      <c r="W89" s="79"/>
      <c r="X89" s="79"/>
      <c r="Y89" s="79"/>
      <c r="Z89" s="79"/>
      <c r="AA89" s="79"/>
      <c r="AB89" s="79"/>
      <c r="AC89" s="92"/>
      <c r="AD89" s="79"/>
      <c r="AE89" s="79"/>
      <c r="AF89" s="79"/>
      <c r="AG89" s="79"/>
      <c r="AH89" s="79"/>
      <c r="AI89" s="79"/>
      <c r="AJ89" s="79"/>
      <c r="AK89" s="79"/>
      <c r="AL89" s="79"/>
      <c r="AM89" s="79"/>
      <c r="AN89" s="231"/>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hidden="1" outlineLevel="1" x14ac:dyDescent="0.4">
      <c r="A90" s="30" t="str">
        <f t="shared" si="21"/>
        <v>modesg_out_empr_info_nfincca_turnover_own_prfrmnce_algnd</v>
      </c>
      <c r="B90" s="142" t="s">
        <v>26</v>
      </c>
      <c r="C90" s="138" t="s">
        <v>311</v>
      </c>
      <c r="D90" s="253" t="s">
        <v>40</v>
      </c>
      <c r="E90" s="254" t="s">
        <v>326</v>
      </c>
      <c r="F90" s="254"/>
      <c r="G90" s="253" t="s">
        <v>248</v>
      </c>
      <c r="H90" s="255" t="str">
        <f>VLOOKUP(A90,'2. Status Detalhe Campos'!$A$7:$G$574,7,0)</f>
        <v>6. Em implementação (re-especificação)</v>
      </c>
      <c r="I90" s="229" t="s">
        <v>38</v>
      </c>
      <c r="J90" s="153">
        <v>45614</v>
      </c>
      <c r="K90" s="229"/>
      <c r="L90" s="280">
        <f t="array" ref="L90">MIN(IF(V90:CH90&gt;0,$V$16:$CH$16))</f>
        <v>45621</v>
      </c>
      <c r="M90" s="279">
        <f t="array" ref="M90">MAX(IF(V90:CH90&gt;0,$V$16:$CH$16))</f>
        <v>45621</v>
      </c>
      <c r="N90" s="277">
        <f>VLOOKUP(H90,Auxiliar!$B$16:$E$24,4,0)</f>
        <v>0</v>
      </c>
      <c r="O90" s="277">
        <f t="shared" ca="1" si="19"/>
        <v>0</v>
      </c>
      <c r="P90" s="276">
        <f t="shared" ca="1" si="18"/>
        <v>0</v>
      </c>
      <c r="Q90" s="287" t="s">
        <v>38</v>
      </c>
      <c r="R90" s="230"/>
      <c r="S90" s="234">
        <v>4</v>
      </c>
      <c r="T90" s="224">
        <f t="shared" si="22"/>
        <v>0.5</v>
      </c>
      <c r="U90" s="224">
        <f t="shared" si="20"/>
        <v>0</v>
      </c>
      <c r="V90" s="79"/>
      <c r="W90" s="79"/>
      <c r="X90" s="79"/>
      <c r="Y90" s="79"/>
      <c r="Z90" s="79"/>
      <c r="AA90" s="79"/>
      <c r="AB90" s="79"/>
      <c r="AC90" s="92"/>
      <c r="AD90" s="79"/>
      <c r="AE90" s="79"/>
      <c r="AF90" s="79"/>
      <c r="AG90" s="79"/>
      <c r="AH90" s="79"/>
      <c r="AI90" s="79"/>
      <c r="AJ90" s="79"/>
      <c r="AK90" s="79"/>
      <c r="AL90" s="79"/>
      <c r="AM90" s="79"/>
      <c r="AN90" s="231"/>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hidden="1" outlineLevel="1" x14ac:dyDescent="0.4">
      <c r="A91" s="30" t="str">
        <f t="shared" si="21"/>
        <v>modesg_out_empr_info_nfinccm_capex_enblng_algnd</v>
      </c>
      <c r="B91" s="142" t="s">
        <v>26</v>
      </c>
      <c r="C91" s="138" t="s">
        <v>311</v>
      </c>
      <c r="D91" s="253" t="s">
        <v>40</v>
      </c>
      <c r="E91" s="254" t="s">
        <v>326</v>
      </c>
      <c r="F91" s="254"/>
      <c r="G91" s="253" t="s">
        <v>257</v>
      </c>
      <c r="H91" s="255" t="str">
        <f>VLOOKUP(A91,'2. Status Detalhe Campos'!$A$7:$G$574,7,0)</f>
        <v>6. Em implementação (re-especificação)</v>
      </c>
      <c r="I91" s="229" t="s">
        <v>38</v>
      </c>
      <c r="J91" s="153">
        <v>45614</v>
      </c>
      <c r="K91" s="229"/>
      <c r="L91" s="280">
        <f t="array" ref="L91">MIN(IF(V91:CH91&gt;0,$V$16:$CH$16))</f>
        <v>45621</v>
      </c>
      <c r="M91" s="279">
        <f t="array" ref="M91">MAX(IF(V91:CH91&gt;0,$V$16:$CH$16))</f>
        <v>45621</v>
      </c>
      <c r="N91" s="277">
        <f>VLOOKUP(H91,Auxiliar!$B$16:$E$24,4,0)</f>
        <v>0</v>
      </c>
      <c r="O91" s="277">
        <f t="shared" ca="1" si="19"/>
        <v>0</v>
      </c>
      <c r="P91" s="276">
        <f t="shared" ca="1" si="18"/>
        <v>0</v>
      </c>
      <c r="Q91" s="287" t="s">
        <v>38</v>
      </c>
      <c r="R91" s="230"/>
      <c r="S91" s="234">
        <v>4</v>
      </c>
      <c r="T91" s="224">
        <f t="shared" si="22"/>
        <v>0.5</v>
      </c>
      <c r="U91" s="224">
        <f t="shared" si="20"/>
        <v>0</v>
      </c>
      <c r="V91" s="79"/>
      <c r="W91" s="79"/>
      <c r="X91" s="79"/>
      <c r="Y91" s="79"/>
      <c r="Z91" s="79"/>
      <c r="AA91" s="79"/>
      <c r="AB91" s="79"/>
      <c r="AC91" s="92"/>
      <c r="AD91" s="79"/>
      <c r="AE91" s="79"/>
      <c r="AF91" s="79"/>
      <c r="AG91" s="79"/>
      <c r="AH91" s="79"/>
      <c r="AI91" s="79"/>
      <c r="AJ91" s="79"/>
      <c r="AK91" s="79"/>
      <c r="AL91" s="79"/>
      <c r="AM91" s="79"/>
      <c r="AN91" s="231"/>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hidden="1" outlineLevel="1" x14ac:dyDescent="0.4">
      <c r="A92" s="30" t="str">
        <f t="shared" si="21"/>
        <v>modesg_out_empr_info_nfinccm_capex_own_prfrmnce_algnd</v>
      </c>
      <c r="B92" s="142" t="s">
        <v>26</v>
      </c>
      <c r="C92" s="138" t="s">
        <v>311</v>
      </c>
      <c r="D92" s="253" t="s">
        <v>40</v>
      </c>
      <c r="E92" s="254" t="s">
        <v>326</v>
      </c>
      <c r="F92" s="254"/>
      <c r="G92" s="253" t="s">
        <v>259</v>
      </c>
      <c r="H92" s="255" t="str">
        <f>VLOOKUP(A92,'2. Status Detalhe Campos'!$A$7:$G$574,7,0)</f>
        <v>6. Em implementação (re-especificação)</v>
      </c>
      <c r="I92" s="229" t="s">
        <v>38</v>
      </c>
      <c r="J92" s="153">
        <v>45614</v>
      </c>
      <c r="K92" s="229"/>
      <c r="L92" s="280">
        <f t="array" ref="L92">MIN(IF(V92:CH92&gt;0,$V$16:$CH$16))</f>
        <v>45622</v>
      </c>
      <c r="M92" s="279">
        <f t="array" ref="M92">MAX(IF(V92:CH92&gt;0,$V$16:$CH$16))</f>
        <v>45622</v>
      </c>
      <c r="N92" s="277">
        <f>VLOOKUP(H92,Auxiliar!$B$16:$E$24,4,0)</f>
        <v>0</v>
      </c>
      <c r="O92" s="277">
        <f t="shared" ca="1" si="19"/>
        <v>0</v>
      </c>
      <c r="P92" s="276">
        <f t="shared" ca="1" si="18"/>
        <v>0</v>
      </c>
      <c r="Q92" s="287" t="s">
        <v>38</v>
      </c>
      <c r="R92" s="230"/>
      <c r="S92" s="234">
        <v>4</v>
      </c>
      <c r="T92" s="224">
        <f t="shared" si="22"/>
        <v>0.5</v>
      </c>
      <c r="U92" s="224">
        <f t="shared" si="20"/>
        <v>0</v>
      </c>
      <c r="V92" s="79"/>
      <c r="W92" s="79"/>
      <c r="X92" s="79"/>
      <c r="Y92" s="79"/>
      <c r="Z92" s="79"/>
      <c r="AA92" s="79"/>
      <c r="AB92" s="79"/>
      <c r="AC92" s="92"/>
      <c r="AD92" s="79"/>
      <c r="AE92" s="79"/>
      <c r="AF92" s="79"/>
      <c r="AG92" s="79"/>
      <c r="AH92" s="79"/>
      <c r="AI92" s="79"/>
      <c r="AJ92" s="79"/>
      <c r="AK92" s="79"/>
      <c r="AL92" s="79"/>
      <c r="AM92" s="79"/>
      <c r="AN92" s="231"/>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hidden="1" outlineLevel="1" x14ac:dyDescent="0.4">
      <c r="A93" s="30" t="str">
        <f t="shared" si="21"/>
        <v>modesg_out_empr_info_nfinccm_capex_trnstn_algnd</v>
      </c>
      <c r="B93" s="142" t="s">
        <v>26</v>
      </c>
      <c r="C93" s="138" t="s">
        <v>311</v>
      </c>
      <c r="D93" s="253" t="s">
        <v>40</v>
      </c>
      <c r="E93" s="254" t="s">
        <v>326</v>
      </c>
      <c r="F93" s="254"/>
      <c r="G93" s="253" t="s">
        <v>258</v>
      </c>
      <c r="H93" s="255" t="str">
        <f>VLOOKUP(A93,'2. Status Detalhe Campos'!$A$7:$G$574,7,0)</f>
        <v>6. Em implementação (re-especificação)</v>
      </c>
      <c r="I93" s="229" t="s">
        <v>38</v>
      </c>
      <c r="J93" s="153">
        <v>45614</v>
      </c>
      <c r="K93" s="229"/>
      <c r="L93" s="280">
        <f t="array" ref="L93">MIN(IF(V93:CH93&gt;0,$V$16:$CH$16))</f>
        <v>45622</v>
      </c>
      <c r="M93" s="279">
        <f t="array" ref="M93">MAX(IF(V93:CH93&gt;0,$V$16:$CH$16))</f>
        <v>45622</v>
      </c>
      <c r="N93" s="277">
        <f>VLOOKUP(H93,Auxiliar!$B$16:$E$24,4,0)</f>
        <v>0</v>
      </c>
      <c r="O93" s="277">
        <f t="shared" ca="1" si="19"/>
        <v>0</v>
      </c>
      <c r="P93" s="276">
        <f t="shared" ca="1" si="18"/>
        <v>0</v>
      </c>
      <c r="Q93" s="287" t="s">
        <v>38</v>
      </c>
      <c r="R93" s="230"/>
      <c r="S93" s="234">
        <v>4</v>
      </c>
      <c r="T93" s="224">
        <f t="shared" si="22"/>
        <v>0.5</v>
      </c>
      <c r="U93" s="224">
        <f t="shared" si="20"/>
        <v>0</v>
      </c>
      <c r="V93" s="79"/>
      <c r="W93" s="79"/>
      <c r="X93" s="79"/>
      <c r="Y93" s="79"/>
      <c r="Z93" s="79"/>
      <c r="AA93" s="79"/>
      <c r="AB93" s="79"/>
      <c r="AC93" s="92"/>
      <c r="AD93" s="79"/>
      <c r="AE93" s="79"/>
      <c r="AF93" s="79"/>
      <c r="AG93" s="79"/>
      <c r="AH93" s="79"/>
      <c r="AI93" s="79"/>
      <c r="AJ93" s="79"/>
      <c r="AK93" s="79"/>
      <c r="AL93" s="79"/>
      <c r="AM93" s="79"/>
      <c r="AN93" s="231"/>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hidden="1" outlineLevel="1" x14ac:dyDescent="0.4">
      <c r="A94" s="30" t="str">
        <f t="shared" si="21"/>
        <v>modesg_out_empr_info_nfinccm_capex_ttl_elgbl</v>
      </c>
      <c r="B94" s="142" t="s">
        <v>26</v>
      </c>
      <c r="C94" s="138" t="s">
        <v>311</v>
      </c>
      <c r="D94" s="253" t="s">
        <v>40</v>
      </c>
      <c r="E94" s="254" t="s">
        <v>326</v>
      </c>
      <c r="F94" s="254"/>
      <c r="G94" s="253" t="s">
        <v>256</v>
      </c>
      <c r="H94" s="255" t="str">
        <f>VLOOKUP(A94,'2. Status Detalhe Campos'!$A$7:$G$574,7,0)</f>
        <v>6. Em implementação (re-especificação)</v>
      </c>
      <c r="I94" s="229" t="s">
        <v>38</v>
      </c>
      <c r="J94" s="153">
        <v>45614</v>
      </c>
      <c r="K94" s="229"/>
      <c r="L94" s="280">
        <f t="array" ref="L94">MIN(IF(V94:CH94&gt;0,$V$16:$CH$16))</f>
        <v>45623</v>
      </c>
      <c r="M94" s="279">
        <f t="array" ref="M94">MAX(IF(V94:CH94&gt;0,$V$16:$CH$16))</f>
        <v>45623</v>
      </c>
      <c r="N94" s="277">
        <f>VLOOKUP(H94,Auxiliar!$B$16:$E$24,4,0)</f>
        <v>0</v>
      </c>
      <c r="O94" s="277">
        <f t="shared" ca="1" si="19"/>
        <v>0</v>
      </c>
      <c r="P94" s="276">
        <f t="shared" ca="1" si="18"/>
        <v>0</v>
      </c>
      <c r="Q94" s="287" t="s">
        <v>38</v>
      </c>
      <c r="R94" s="230"/>
      <c r="S94" s="234">
        <v>4</v>
      </c>
      <c r="T94" s="224">
        <f t="shared" si="22"/>
        <v>0.5</v>
      </c>
      <c r="U94" s="224">
        <f t="shared" si="20"/>
        <v>0</v>
      </c>
      <c r="V94" s="79"/>
      <c r="W94" s="79"/>
      <c r="X94" s="79"/>
      <c r="Y94" s="79"/>
      <c r="Z94" s="79"/>
      <c r="AA94" s="79"/>
      <c r="AB94" s="79"/>
      <c r="AC94" s="92"/>
      <c r="AD94" s="79"/>
      <c r="AE94" s="79"/>
      <c r="AF94" s="79"/>
      <c r="AG94" s="79"/>
      <c r="AH94" s="79"/>
      <c r="AI94" s="79"/>
      <c r="AJ94" s="79"/>
      <c r="AK94" s="79"/>
      <c r="AL94" s="79"/>
      <c r="AM94" s="79"/>
      <c r="AN94" s="231"/>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hidden="1" outlineLevel="1" x14ac:dyDescent="0.4">
      <c r="A95" s="30" t="str">
        <f t="shared" si="21"/>
        <v>modesg_out_empr_info_nfinccm_trnvr_enblng_algnd</v>
      </c>
      <c r="B95" s="142" t="s">
        <v>26</v>
      </c>
      <c r="C95" s="138" t="s">
        <v>311</v>
      </c>
      <c r="D95" s="253" t="s">
        <v>40</v>
      </c>
      <c r="E95" s="254" t="s">
        <v>326</v>
      </c>
      <c r="F95" s="254"/>
      <c r="G95" s="253" t="s">
        <v>253</v>
      </c>
      <c r="H95" s="255" t="str">
        <f>VLOOKUP(A95,'2. Status Detalhe Campos'!$A$7:$G$574,7,0)</f>
        <v>6. Em implementação (re-especificação)</v>
      </c>
      <c r="I95" s="229" t="s">
        <v>38</v>
      </c>
      <c r="J95" s="153">
        <v>45614</v>
      </c>
      <c r="K95" s="229"/>
      <c r="L95" s="280">
        <f t="array" ref="L95">MIN(IF(V95:CH95&gt;0,$V$16:$CH$16))</f>
        <v>45623</v>
      </c>
      <c r="M95" s="279">
        <f t="array" ref="M95">MAX(IF(V95:CH95&gt;0,$V$16:$CH$16))</f>
        <v>45623</v>
      </c>
      <c r="N95" s="277">
        <f>VLOOKUP(H95,Auxiliar!$B$16:$E$24,4,0)</f>
        <v>0</v>
      </c>
      <c r="O95" s="277">
        <f t="shared" ca="1" si="19"/>
        <v>0</v>
      </c>
      <c r="P95" s="276">
        <f t="shared" ca="1" si="18"/>
        <v>0</v>
      </c>
      <c r="Q95" s="287" t="s">
        <v>38</v>
      </c>
      <c r="R95" s="230"/>
      <c r="S95" s="234">
        <v>4</v>
      </c>
      <c r="T95" s="224">
        <f t="shared" si="22"/>
        <v>0.5</v>
      </c>
      <c r="U95" s="224">
        <f t="shared" si="20"/>
        <v>0</v>
      </c>
      <c r="V95" s="79"/>
      <c r="W95" s="79"/>
      <c r="X95" s="79"/>
      <c r="Y95" s="79"/>
      <c r="Z95" s="79"/>
      <c r="AA95" s="79"/>
      <c r="AB95" s="79"/>
      <c r="AC95" s="92"/>
      <c r="AD95" s="79"/>
      <c r="AE95" s="79"/>
      <c r="AF95" s="79"/>
      <c r="AG95" s="79"/>
      <c r="AH95" s="79"/>
      <c r="AI95" s="79"/>
      <c r="AJ95" s="79"/>
      <c r="AK95" s="79"/>
      <c r="AL95" s="79"/>
      <c r="AM95" s="79"/>
      <c r="AN95" s="231"/>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hidden="1" outlineLevel="1" x14ac:dyDescent="0.4">
      <c r="A96" s="30" t="str">
        <f t="shared" si="21"/>
        <v>modesg_out_empr_info_nfinccm_trnvr_own_prfrmnce_algnd</v>
      </c>
      <c r="B96" s="142" t="s">
        <v>26</v>
      </c>
      <c r="C96" s="138" t="s">
        <v>311</v>
      </c>
      <c r="D96" s="253" t="s">
        <v>40</v>
      </c>
      <c r="E96" s="254" t="s">
        <v>326</v>
      </c>
      <c r="F96" s="254"/>
      <c r="G96" s="253" t="s">
        <v>255</v>
      </c>
      <c r="H96" s="255" t="str">
        <f>VLOOKUP(A96,'2. Status Detalhe Campos'!$A$7:$G$574,7,0)</f>
        <v>6. Em implementação (re-especificação)</v>
      </c>
      <c r="I96" s="229" t="s">
        <v>38</v>
      </c>
      <c r="J96" s="153">
        <v>45614</v>
      </c>
      <c r="K96" s="229"/>
      <c r="L96" s="280">
        <f t="array" ref="L96">MIN(IF(V96:CH96&gt;0,$V$16:$CH$16))</f>
        <v>45624</v>
      </c>
      <c r="M96" s="279">
        <f t="array" ref="M96">MAX(IF(V96:CH96&gt;0,$V$16:$CH$16))</f>
        <v>45624</v>
      </c>
      <c r="N96" s="277">
        <f>VLOOKUP(H96,Auxiliar!$B$16:$E$24,4,0)</f>
        <v>0</v>
      </c>
      <c r="O96" s="277">
        <f t="shared" ca="1" si="19"/>
        <v>0</v>
      </c>
      <c r="P96" s="276">
        <f t="shared" ca="1" si="18"/>
        <v>0</v>
      </c>
      <c r="Q96" s="287" t="s">
        <v>38</v>
      </c>
      <c r="R96" s="230"/>
      <c r="S96" s="234">
        <v>4</v>
      </c>
      <c r="T96" s="224">
        <f t="shared" si="22"/>
        <v>0.5</v>
      </c>
      <c r="U96" s="224">
        <f t="shared" si="20"/>
        <v>0</v>
      </c>
      <c r="V96" s="79"/>
      <c r="W96" s="79"/>
      <c r="X96" s="79"/>
      <c r="Y96" s="79"/>
      <c r="Z96" s="79"/>
      <c r="AA96" s="79"/>
      <c r="AB96" s="79"/>
      <c r="AC96" s="92"/>
      <c r="AD96" s="79"/>
      <c r="AE96" s="79"/>
      <c r="AF96" s="79"/>
      <c r="AG96" s="79"/>
      <c r="AH96" s="79"/>
      <c r="AI96" s="79"/>
      <c r="AJ96" s="79"/>
      <c r="AK96" s="79"/>
      <c r="AL96" s="79"/>
      <c r="AM96" s="79"/>
      <c r="AN96" s="231"/>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hidden="1" outlineLevel="1" x14ac:dyDescent="0.4">
      <c r="A97" s="30" t="str">
        <f t="shared" si="21"/>
        <v>modesg_out_empr_info_nfinccm_trnvr_trnstn_alignd</v>
      </c>
      <c r="B97" s="142" t="s">
        <v>26</v>
      </c>
      <c r="C97" s="138" t="s">
        <v>311</v>
      </c>
      <c r="D97" s="253" t="s">
        <v>40</v>
      </c>
      <c r="E97" s="254" t="s">
        <v>326</v>
      </c>
      <c r="F97" s="254"/>
      <c r="G97" s="253" t="s">
        <v>254</v>
      </c>
      <c r="H97" s="255" t="str">
        <f>VLOOKUP(A97,'2. Status Detalhe Campos'!$A$7:$G$574,7,0)</f>
        <v>6. Em implementação (re-especificação)</v>
      </c>
      <c r="I97" s="229" t="s">
        <v>38</v>
      </c>
      <c r="J97" s="153">
        <v>45614</v>
      </c>
      <c r="K97" s="229"/>
      <c r="L97" s="280">
        <f t="array" ref="L97">MIN(IF(V97:CH97&gt;0,$V$16:$CH$16))</f>
        <v>45624</v>
      </c>
      <c r="M97" s="279">
        <f t="array" ref="M97">MAX(IF(V97:CH97&gt;0,$V$16:$CH$16))</f>
        <v>45624</v>
      </c>
      <c r="N97" s="277">
        <f>VLOOKUP(H97,Auxiliar!$B$16:$E$24,4,0)</f>
        <v>0</v>
      </c>
      <c r="O97" s="277">
        <f t="shared" ca="1" si="19"/>
        <v>0</v>
      </c>
      <c r="P97" s="276">
        <f t="shared" ca="1" si="18"/>
        <v>0</v>
      </c>
      <c r="Q97" s="287" t="s">
        <v>38</v>
      </c>
      <c r="R97" s="230"/>
      <c r="S97" s="234">
        <v>4</v>
      </c>
      <c r="T97" s="224">
        <f t="shared" si="22"/>
        <v>0.5</v>
      </c>
      <c r="U97" s="224">
        <f t="shared" si="20"/>
        <v>0</v>
      </c>
      <c r="V97" s="79"/>
      <c r="W97" s="79"/>
      <c r="X97" s="79"/>
      <c r="Y97" s="79"/>
      <c r="Z97" s="79"/>
      <c r="AA97" s="79"/>
      <c r="AB97" s="79"/>
      <c r="AC97" s="92"/>
      <c r="AD97" s="79"/>
      <c r="AE97" s="79"/>
      <c r="AF97" s="79"/>
      <c r="AG97" s="79"/>
      <c r="AH97" s="79"/>
      <c r="AI97" s="79"/>
      <c r="AJ97" s="79"/>
      <c r="AK97" s="79"/>
      <c r="AL97" s="79"/>
      <c r="AM97" s="79"/>
      <c r="AN97" s="231"/>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hidden="1" outlineLevel="1" x14ac:dyDescent="0.4">
      <c r="A98" s="30" t="str">
        <f t="shared" si="21"/>
        <v>modesg_out_empr_info_nfinccm_trnvr_ttl_elgbl</v>
      </c>
      <c r="B98" s="142" t="s">
        <v>26</v>
      </c>
      <c r="C98" s="138" t="s">
        <v>311</v>
      </c>
      <c r="D98" s="253" t="s">
        <v>40</v>
      </c>
      <c r="E98" s="254" t="s">
        <v>326</v>
      </c>
      <c r="F98" s="254"/>
      <c r="G98" s="253" t="s">
        <v>252</v>
      </c>
      <c r="H98" s="255" t="str">
        <f>VLOOKUP(A98,'2. Status Detalhe Campos'!$A$7:$G$574,7,0)</f>
        <v>6. Em implementação (re-especificação)</v>
      </c>
      <c r="I98" s="229" t="s">
        <v>38</v>
      </c>
      <c r="J98" s="153">
        <v>45614</v>
      </c>
      <c r="K98" s="229"/>
      <c r="L98" s="280">
        <f t="array" ref="L98">MIN(IF(V98:CH98&gt;0,$V$16:$CH$16))</f>
        <v>45625</v>
      </c>
      <c r="M98" s="279">
        <f t="array" ref="M98">MAX(IF(V98:CH98&gt;0,$V$16:$CH$16))</f>
        <v>45625</v>
      </c>
      <c r="N98" s="277">
        <f>VLOOKUP(H98,Auxiliar!$B$16:$E$24,4,0)</f>
        <v>0</v>
      </c>
      <c r="O98" s="277">
        <f t="shared" ca="1" si="19"/>
        <v>0</v>
      </c>
      <c r="P98" s="276">
        <f t="shared" ca="1" si="18"/>
        <v>0</v>
      </c>
      <c r="Q98" s="287" t="s">
        <v>38</v>
      </c>
      <c r="R98" s="230"/>
      <c r="S98" s="234">
        <v>4</v>
      </c>
      <c r="T98" s="224">
        <f t="shared" si="22"/>
        <v>0.5</v>
      </c>
      <c r="U98" s="224">
        <f t="shared" si="20"/>
        <v>0</v>
      </c>
      <c r="V98" s="79"/>
      <c r="W98" s="79"/>
      <c r="X98" s="79"/>
      <c r="Y98" s="79"/>
      <c r="Z98" s="79"/>
      <c r="AA98" s="79"/>
      <c r="AB98" s="79"/>
      <c r="AC98" s="92"/>
      <c r="AD98" s="79"/>
      <c r="AE98" s="79"/>
      <c r="AF98" s="79"/>
      <c r="AG98" s="79"/>
      <c r="AH98" s="79"/>
      <c r="AI98" s="79"/>
      <c r="AJ98" s="79"/>
      <c r="AK98" s="79"/>
      <c r="AL98" s="79"/>
      <c r="AM98" s="79"/>
      <c r="AN98" s="231"/>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hidden="1" outlineLevel="1" x14ac:dyDescent="0.4">
      <c r="A99" s="30" t="str">
        <f t="shared" si="21"/>
        <v>modesg_out_empr_info_nfincod_nace_esg</v>
      </c>
      <c r="B99" s="142" t="s">
        <v>26</v>
      </c>
      <c r="C99" s="138" t="s">
        <v>311</v>
      </c>
      <c r="D99" s="253" t="s">
        <v>40</v>
      </c>
      <c r="E99" s="254" t="s">
        <v>326</v>
      </c>
      <c r="F99" s="254"/>
      <c r="G99" s="256" t="s">
        <v>282</v>
      </c>
      <c r="H99" s="255" t="str">
        <f>VLOOKUP(A99,'2. Status Detalhe Campos'!$A$7:$G$574,7,0)</f>
        <v>6. Em implementação (re-especificação)</v>
      </c>
      <c r="I99" s="229" t="s">
        <v>38</v>
      </c>
      <c r="J99" s="153">
        <v>45614</v>
      </c>
      <c r="K99" s="229"/>
      <c r="L99" s="280">
        <f t="array" ref="L99">MIN(IF(V99:CH99&gt;0,$V$16:$CH$16))</f>
        <v>45625</v>
      </c>
      <c r="M99" s="279">
        <f t="array" ref="M99">MAX(IF(V99:CH99&gt;0,$V$16:$CH$16))</f>
        <v>45629</v>
      </c>
      <c r="N99" s="277">
        <f>VLOOKUP(H99,Auxiliar!$B$16:$E$24,4,0)</f>
        <v>0</v>
      </c>
      <c r="O99" s="277">
        <f t="shared" ca="1" si="19"/>
        <v>0</v>
      </c>
      <c r="P99" s="276">
        <f t="shared" ca="1" si="18"/>
        <v>0</v>
      </c>
      <c r="Q99" s="287" t="s">
        <v>38</v>
      </c>
      <c r="R99" s="230"/>
      <c r="S99" s="224">
        <v>16.100000000000001</v>
      </c>
      <c r="T99" s="224">
        <f t="shared" si="22"/>
        <v>2</v>
      </c>
      <c r="U99" s="224">
        <f t="shared" si="20"/>
        <v>0</v>
      </c>
      <c r="V99" s="79"/>
      <c r="W99" s="79"/>
      <c r="X99" s="79"/>
      <c r="Y99" s="79"/>
      <c r="Z99" s="79"/>
      <c r="AA99" s="79"/>
      <c r="AB99" s="79"/>
      <c r="AC99" s="92"/>
      <c r="AD99" s="79"/>
      <c r="AE99" s="79"/>
      <c r="AF99" s="79"/>
      <c r="AG99" s="79"/>
      <c r="AH99" s="79"/>
      <c r="AI99" s="79"/>
      <c r="AJ99" s="79"/>
      <c r="AK99" s="79"/>
      <c r="AL99" s="79"/>
      <c r="AM99" s="79"/>
      <c r="AN99" s="231"/>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hidden="1" outlineLevel="1" x14ac:dyDescent="0.4">
      <c r="A100" s="30" t="str">
        <f t="shared" si="21"/>
        <v>modesg_out_empr_info_nfinflg_emprs_excl_paris</v>
      </c>
      <c r="B100" s="142" t="s">
        <v>26</v>
      </c>
      <c r="C100" s="138" t="s">
        <v>311</v>
      </c>
      <c r="D100" s="253" t="s">
        <v>40</v>
      </c>
      <c r="E100" s="254" t="s">
        <v>326</v>
      </c>
      <c r="F100" s="254"/>
      <c r="G100" s="253" t="s">
        <v>328</v>
      </c>
      <c r="H100" s="255" t="str">
        <f>VLOOKUP(A100,'2. Status Detalhe Campos'!$A$7:$G$574,7,0)</f>
        <v>6. Em implementação (re-especificação)</v>
      </c>
      <c r="I100" s="229" t="s">
        <v>38</v>
      </c>
      <c r="J100" s="153">
        <v>45614</v>
      </c>
      <c r="K100" s="229"/>
      <c r="L100" s="280">
        <f t="array" ref="L100">MIN(IF(V100:CH100&gt;0,$V$16:$CH$16))</f>
        <v>45629</v>
      </c>
      <c r="M100" s="279">
        <f t="array" ref="M100">MAX(IF(V100:CH100&gt;0,$V$16:$CH$16))</f>
        <v>45630</v>
      </c>
      <c r="N100" s="277">
        <f>VLOOKUP(H100,Auxiliar!$B$16:$E$24,4,0)</f>
        <v>0</v>
      </c>
      <c r="O100" s="277">
        <f t="shared" ca="1" si="19"/>
        <v>0</v>
      </c>
      <c r="P100" s="276">
        <f t="shared" ca="1" si="18"/>
        <v>0</v>
      </c>
      <c r="Q100" s="287" t="s">
        <v>38</v>
      </c>
      <c r="R100" s="230"/>
      <c r="S100" s="224">
        <v>8.1</v>
      </c>
      <c r="T100" s="224">
        <f t="shared" si="22"/>
        <v>1</v>
      </c>
      <c r="U100" s="224">
        <f t="shared" si="20"/>
        <v>0</v>
      </c>
      <c r="V100" s="79"/>
      <c r="W100" s="79"/>
      <c r="X100" s="79"/>
      <c r="Y100" s="79"/>
      <c r="Z100" s="79"/>
      <c r="AA100" s="79"/>
      <c r="AB100" s="79"/>
      <c r="AC100" s="92"/>
      <c r="AD100" s="79"/>
      <c r="AE100" s="79"/>
      <c r="AF100" s="79"/>
      <c r="AG100" s="79"/>
      <c r="AH100" s="79"/>
      <c r="AI100" s="79"/>
      <c r="AJ100" s="79"/>
      <c r="AK100" s="79"/>
      <c r="AL100" s="79"/>
      <c r="AM100" s="79"/>
      <c r="AN100" s="231"/>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hidden="1" outlineLevel="1" x14ac:dyDescent="0.4">
      <c r="A101" s="30" t="str">
        <f t="shared" si="21"/>
        <v>modesg_out_empr_info_nfinflg_nfrd</v>
      </c>
      <c r="B101" s="142" t="s">
        <v>26</v>
      </c>
      <c r="C101" s="138" t="s">
        <v>311</v>
      </c>
      <c r="D101" s="253" t="s">
        <v>40</v>
      </c>
      <c r="E101" s="254" t="s">
        <v>326</v>
      </c>
      <c r="F101" s="254"/>
      <c r="G101" s="253" t="s">
        <v>245</v>
      </c>
      <c r="H101" s="255" t="str">
        <f>VLOOKUP(A101,'2. Status Detalhe Campos'!$A$7:$G$574,7,0)</f>
        <v>6. Em implementação (re-especificação)</v>
      </c>
      <c r="I101" s="229" t="s">
        <v>38</v>
      </c>
      <c r="J101" s="153">
        <v>45614</v>
      </c>
      <c r="K101" s="229"/>
      <c r="L101" s="280">
        <f t="array" ref="L101">MIN(IF(V101:CH101&gt;0,$V$16:$CH$16))</f>
        <v>45630</v>
      </c>
      <c r="M101" s="279">
        <f t="array" ref="M101">MAX(IF(V101:CH101&gt;0,$V$16:$CH$16))</f>
        <v>45631</v>
      </c>
      <c r="N101" s="277">
        <f>VLOOKUP(H101,Auxiliar!$B$16:$E$24,4,0)</f>
        <v>0</v>
      </c>
      <c r="O101" s="277">
        <f t="shared" ca="1" si="19"/>
        <v>0</v>
      </c>
      <c r="P101" s="276">
        <f t="shared" ca="1" si="18"/>
        <v>0</v>
      </c>
      <c r="Q101" s="287" t="s">
        <v>38</v>
      </c>
      <c r="R101" s="230"/>
      <c r="S101" s="224">
        <v>8.1</v>
      </c>
      <c r="T101" s="224">
        <f t="shared" si="22"/>
        <v>1</v>
      </c>
      <c r="U101" s="224">
        <f t="shared" si="20"/>
        <v>0</v>
      </c>
      <c r="V101" s="79"/>
      <c r="W101" s="79"/>
      <c r="X101" s="79"/>
      <c r="Y101" s="79"/>
      <c r="Z101" s="79"/>
      <c r="AA101" s="79"/>
      <c r="AB101" s="79"/>
      <c r="AC101" s="92"/>
      <c r="AD101" s="79"/>
      <c r="AE101" s="79"/>
      <c r="AF101" s="79"/>
      <c r="AG101" s="79"/>
      <c r="AH101" s="79"/>
      <c r="AI101" s="79"/>
      <c r="AJ101" s="79"/>
      <c r="AK101" s="79"/>
      <c r="AL101" s="79"/>
      <c r="AM101" s="79"/>
      <c r="AN101" s="231"/>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hidden="1" outlineLevel="1" x14ac:dyDescent="0.4">
      <c r="A102" s="30" t="str">
        <f t="shared" si="21"/>
        <v>modesg_out_empr_info_nfinorigem_alinhamentos</v>
      </c>
      <c r="B102" s="142" t="s">
        <v>26</v>
      </c>
      <c r="C102" s="138" t="s">
        <v>311</v>
      </c>
      <c r="D102" s="253" t="s">
        <v>40</v>
      </c>
      <c r="E102" s="254" t="s">
        <v>326</v>
      </c>
      <c r="F102" s="254"/>
      <c r="G102" s="253" t="s">
        <v>329</v>
      </c>
      <c r="H102" s="255" t="str">
        <f>VLOOKUP(A102,'2. Status Detalhe Campos'!$A$7:$G$574,7,0)</f>
        <v>6. Em implementação (re-especificação)</v>
      </c>
      <c r="I102" s="229" t="s">
        <v>38</v>
      </c>
      <c r="J102" s="153">
        <v>45614</v>
      </c>
      <c r="K102" s="229"/>
      <c r="L102" s="280">
        <f t="array" ref="L102">MIN(IF(V102:CH102&gt;0,$V$16:$CH$16))</f>
        <v>45631</v>
      </c>
      <c r="M102" s="279">
        <f t="array" ref="M102">MAX(IF(V102:CH102&gt;0,$V$16:$CH$16))</f>
        <v>45631</v>
      </c>
      <c r="N102" s="277">
        <f>VLOOKUP(H102,Auxiliar!$B$16:$E$24,4,0)</f>
        <v>0</v>
      </c>
      <c r="O102" s="277">
        <f t="shared" ca="1" si="19"/>
        <v>0</v>
      </c>
      <c r="P102" s="276">
        <f t="shared" ca="1" si="18"/>
        <v>0</v>
      </c>
      <c r="Q102" s="287" t="s">
        <v>38</v>
      </c>
      <c r="R102" s="230"/>
      <c r="S102" s="224">
        <v>4.0999999999999996</v>
      </c>
      <c r="T102" s="224">
        <f t="shared" si="22"/>
        <v>0.5</v>
      </c>
      <c r="U102" s="224">
        <f t="shared" si="20"/>
        <v>0</v>
      </c>
      <c r="V102" s="79"/>
      <c r="W102" s="79"/>
      <c r="X102" s="79"/>
      <c r="Y102" s="79"/>
      <c r="Z102" s="79"/>
      <c r="AA102" s="79"/>
      <c r="AB102" s="79"/>
      <c r="AC102" s="92"/>
      <c r="AD102" s="79"/>
      <c r="AE102" s="79"/>
      <c r="AF102" s="79"/>
      <c r="AG102" s="79"/>
      <c r="AH102" s="79"/>
      <c r="AI102" s="79"/>
      <c r="AJ102" s="79"/>
      <c r="AK102" s="79"/>
      <c r="AL102" s="79"/>
      <c r="AM102" s="79"/>
      <c r="AN102" s="231"/>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hidden="1" outlineLevel="1" x14ac:dyDescent="0.4">
      <c r="A103" s="30" t="str">
        <f t="shared" si="21"/>
        <v>modesg_out_empr_info_nfinorigem_flg_emprs_excl_paris</v>
      </c>
      <c r="B103" s="142" t="s">
        <v>26</v>
      </c>
      <c r="C103" s="138" t="s">
        <v>311</v>
      </c>
      <c r="D103" s="253" t="s">
        <v>40</v>
      </c>
      <c r="E103" s="254" t="s">
        <v>326</v>
      </c>
      <c r="F103" s="254"/>
      <c r="G103" s="253" t="s">
        <v>330</v>
      </c>
      <c r="H103" s="255" t="str">
        <f>VLOOKUP(A103,'2. Status Detalhe Campos'!$A$7:$G$574,7,0)</f>
        <v>6. Em implementação (re-especificação)</v>
      </c>
      <c r="I103" s="229" t="s">
        <v>38</v>
      </c>
      <c r="J103" s="153">
        <v>45614</v>
      </c>
      <c r="K103" s="229"/>
      <c r="L103" s="280">
        <f t="array" ref="L103">MIN(IF(V103:CH103&gt;0,$V$16:$CH$16))</f>
        <v>45632</v>
      </c>
      <c r="M103" s="279">
        <f t="array" ref="M103">MAX(IF(V103:CH103&gt;0,$V$16:$CH$16))</f>
        <v>45632</v>
      </c>
      <c r="N103" s="277">
        <f>VLOOKUP(H103,Auxiliar!$B$16:$E$24,4,0)</f>
        <v>0</v>
      </c>
      <c r="O103" s="277">
        <f t="shared" ca="1" si="19"/>
        <v>0</v>
      </c>
      <c r="P103" s="276">
        <f t="shared" ca="1" si="18"/>
        <v>0</v>
      </c>
      <c r="Q103" s="287" t="s">
        <v>38</v>
      </c>
      <c r="R103" s="230"/>
      <c r="S103" s="224">
        <v>4.0999999999999996</v>
      </c>
      <c r="T103" s="224">
        <f t="shared" si="22"/>
        <v>0.5</v>
      </c>
      <c r="U103" s="224">
        <f t="shared" si="20"/>
        <v>0</v>
      </c>
      <c r="V103" s="79"/>
      <c r="W103" s="79"/>
      <c r="X103" s="79"/>
      <c r="Y103" s="79"/>
      <c r="Z103" s="79"/>
      <c r="AA103" s="79"/>
      <c r="AB103" s="79"/>
      <c r="AC103" s="92"/>
      <c r="AD103" s="79"/>
      <c r="AE103" s="79"/>
      <c r="AF103" s="79"/>
      <c r="AG103" s="79"/>
      <c r="AH103" s="79"/>
      <c r="AI103" s="79"/>
      <c r="AJ103" s="79"/>
      <c r="AK103" s="79"/>
      <c r="AL103" s="79"/>
      <c r="AM103" s="79"/>
      <c r="AN103" s="231"/>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hidden="1" outlineLevel="1" x14ac:dyDescent="0.4">
      <c r="A104" s="30" t="str">
        <f t="shared" si="21"/>
        <v>modesg_out_empr_info_nfinorigem_flg_nfrd</v>
      </c>
      <c r="B104" s="142" t="s">
        <v>26</v>
      </c>
      <c r="C104" s="138" t="s">
        <v>311</v>
      </c>
      <c r="D104" s="253" t="s">
        <v>40</v>
      </c>
      <c r="E104" s="254" t="s">
        <v>326</v>
      </c>
      <c r="F104" s="254"/>
      <c r="G104" s="253" t="s">
        <v>331</v>
      </c>
      <c r="H104" s="255" t="str">
        <f>VLOOKUP(A104,'2. Status Detalhe Campos'!$A$7:$G$574,7,0)</f>
        <v>6. Em implementação (re-especificação)</v>
      </c>
      <c r="I104" s="229" t="s">
        <v>38</v>
      </c>
      <c r="J104" s="153">
        <v>45614</v>
      </c>
      <c r="K104" s="229"/>
      <c r="L104" s="280">
        <f t="array" ref="L104">MIN(IF(V104:CH104&gt;0,$V$16:$CH$16))</f>
        <v>45632</v>
      </c>
      <c r="M104" s="279">
        <f t="array" ref="M104">MAX(IF(V104:CH104&gt;0,$V$16:$CH$16))</f>
        <v>45632</v>
      </c>
      <c r="N104" s="277">
        <f>VLOOKUP(H104,Auxiliar!$B$16:$E$24,4,0)</f>
        <v>0</v>
      </c>
      <c r="O104" s="277">
        <f t="shared" ca="1" si="19"/>
        <v>0</v>
      </c>
      <c r="P104" s="276">
        <f t="shared" ca="1" si="18"/>
        <v>0</v>
      </c>
      <c r="Q104" s="287" t="s">
        <v>38</v>
      </c>
      <c r="R104" s="230"/>
      <c r="S104" s="224">
        <v>4.0999999999999996</v>
      </c>
      <c r="T104" s="224">
        <f t="shared" si="22"/>
        <v>0.5</v>
      </c>
      <c r="U104" s="224">
        <f t="shared" si="20"/>
        <v>0</v>
      </c>
      <c r="V104" s="79"/>
      <c r="W104" s="79"/>
      <c r="X104" s="79"/>
      <c r="Y104" s="79"/>
      <c r="Z104" s="79"/>
      <c r="AA104" s="79"/>
      <c r="AB104" s="79"/>
      <c r="AC104" s="92"/>
      <c r="AD104" s="79"/>
      <c r="AE104" s="79"/>
      <c r="AF104" s="79"/>
      <c r="AG104" s="79"/>
      <c r="AH104" s="79"/>
      <c r="AI104" s="79"/>
      <c r="AJ104" s="79"/>
      <c r="AK104" s="79"/>
      <c r="AL104" s="79"/>
      <c r="AM104" s="79"/>
      <c r="AN104" s="231"/>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ollapsed="1" x14ac:dyDescent="0.4">
      <c r="A105" s="30"/>
      <c r="B105" s="142" t="s">
        <v>26</v>
      </c>
      <c r="C105" s="138" t="s">
        <v>311</v>
      </c>
      <c r="D105" s="134"/>
      <c r="E105" s="260" t="s">
        <v>326</v>
      </c>
      <c r="F105" s="260" t="s">
        <v>2010</v>
      </c>
      <c r="G105" s="261">
        <f>COUNTA(G106:G111)</f>
        <v>6</v>
      </c>
      <c r="H105" s="136"/>
      <c r="I105" s="229" t="s">
        <v>38</v>
      </c>
      <c r="J105" s="258">
        <f>MIN(J106:J111)</f>
        <v>45621</v>
      </c>
      <c r="K105" s="229"/>
      <c r="L105" s="258">
        <f>MIN(L106:L111)</f>
        <v>45635</v>
      </c>
      <c r="M105" s="259">
        <f>MAX(M106:M111)</f>
        <v>45642</v>
      </c>
      <c r="N105" s="282">
        <f>SUMPRODUCT(N106:N111,T106:T111)/SUM(T106:T111)</f>
        <v>0</v>
      </c>
      <c r="O105" s="282">
        <f ca="1">SUMPRODUCT(O106:O111,T106:T111)/SUM(T106:T111)</f>
        <v>0</v>
      </c>
      <c r="P105" s="276">
        <f t="shared" ca="1" si="18"/>
        <v>0</v>
      </c>
      <c r="Q105" s="287" t="s">
        <v>38</v>
      </c>
      <c r="R105" s="230"/>
      <c r="S105" s="224"/>
      <c r="T105" s="224"/>
      <c r="U105" s="224"/>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1"/>
      <c r="AT105" s="79"/>
      <c r="AU105" s="79"/>
      <c r="AV105" s="79"/>
      <c r="AW105" s="79"/>
      <c r="AX105" s="79"/>
      <c r="AY105" s="79"/>
      <c r="AZ105" s="79"/>
      <c r="BA105" s="79"/>
      <c r="BB105" s="79"/>
      <c r="BC105" s="79"/>
      <c r="BD105" s="79"/>
      <c r="BE105" s="79"/>
      <c r="BF105" s="79"/>
      <c r="BG105" s="79"/>
      <c r="BH105" s="79"/>
      <c r="BI105" s="79"/>
      <c r="BJ105" s="79"/>
      <c r="BK105" s="79"/>
      <c r="BL105" s="266"/>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hidden="1" outlineLevel="1" x14ac:dyDescent="0.4">
      <c r="A106" s="30" t="str">
        <f t="shared" ref="A106:A111" si="23">E106&amp;G106</f>
        <v>modesg_out_empr_info_nfinorigem_scp1_emss</v>
      </c>
      <c r="B106" s="142" t="s">
        <v>26</v>
      </c>
      <c r="C106" s="138" t="s">
        <v>311</v>
      </c>
      <c r="D106" s="253" t="s">
        <v>40</v>
      </c>
      <c r="E106" s="254" t="s">
        <v>326</v>
      </c>
      <c r="F106" s="254"/>
      <c r="G106" s="253" t="s">
        <v>320</v>
      </c>
      <c r="H106" s="255" t="str">
        <f>VLOOKUP(A106,'2. Status Detalhe Campos'!$A$7:$G$574,7,0)</f>
        <v>6. Em implementação (re-especificação)</v>
      </c>
      <c r="I106" s="229" t="s">
        <v>38</v>
      </c>
      <c r="J106" s="153">
        <v>45621</v>
      </c>
      <c r="K106" s="229"/>
      <c r="L106" s="280">
        <f t="array" ref="L106">MIN(IF(V106:CH106&gt;0,$V$16:$CH$16))</f>
        <v>45635</v>
      </c>
      <c r="M106" s="279">
        <f t="array" ref="M106">MAX(IF(V106:CH106&gt;0,$V$16:$CH$16))</f>
        <v>45635</v>
      </c>
      <c r="N106" s="277">
        <f>VLOOKUP(H106,Auxiliar!$B$16:$E$24,4,0)</f>
        <v>0</v>
      </c>
      <c r="O106" s="277">
        <f t="shared" ref="O106:O111" ca="1" si="24">IF(TODAY()&lt;=L106,0,MIN((TODAY()-L106)/(M106-L106+1),100%))</f>
        <v>0</v>
      </c>
      <c r="P106" s="276">
        <f t="shared" ca="1" si="18"/>
        <v>0</v>
      </c>
      <c r="Q106" s="287" t="s">
        <v>38</v>
      </c>
      <c r="R106" s="230"/>
      <c r="S106" s="224">
        <v>4.0999999999999996</v>
      </c>
      <c r="T106" s="224">
        <f t="shared" ref="T106:T111" si="25">ROUND(S106/8,1)</f>
        <v>0.5</v>
      </c>
      <c r="U106" s="224">
        <f t="shared" ref="U106:U111" si="26">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1"/>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hidden="1" outlineLevel="1" x14ac:dyDescent="0.4">
      <c r="A107" s="30" t="str">
        <f t="shared" si="23"/>
        <v>modesg_out_empr_info_nfinorigem_scp2_emss</v>
      </c>
      <c r="B107" s="142" t="s">
        <v>26</v>
      </c>
      <c r="C107" s="138" t="s">
        <v>311</v>
      </c>
      <c r="D107" s="253" t="s">
        <v>40</v>
      </c>
      <c r="E107" s="254" t="s">
        <v>326</v>
      </c>
      <c r="F107" s="254"/>
      <c r="G107" s="253" t="s">
        <v>321</v>
      </c>
      <c r="H107" s="255" t="str">
        <f>VLOOKUP(A107,'2. Status Detalhe Campos'!$A$7:$G$574,7,0)</f>
        <v>6. Em implementação (re-especificação)</v>
      </c>
      <c r="I107" s="229" t="s">
        <v>38</v>
      </c>
      <c r="J107" s="153">
        <v>45621</v>
      </c>
      <c r="K107" s="229"/>
      <c r="L107" s="280">
        <f t="array" ref="L107">MIN(IF(V107:CH107&gt;0,$V$16:$CH$16))</f>
        <v>45635</v>
      </c>
      <c r="M107" s="279">
        <f t="array" ref="M107">MAX(IF(V107:CH107&gt;0,$V$16:$CH$16))</f>
        <v>45635</v>
      </c>
      <c r="N107" s="277">
        <f>VLOOKUP(H107,Auxiliar!$B$16:$E$24,4,0)</f>
        <v>0</v>
      </c>
      <c r="O107" s="277">
        <f t="shared" ca="1" si="24"/>
        <v>0</v>
      </c>
      <c r="P107" s="276">
        <f t="shared" ca="1" si="18"/>
        <v>0</v>
      </c>
      <c r="Q107" s="287" t="s">
        <v>38</v>
      </c>
      <c r="R107" s="230"/>
      <c r="S107" s="224">
        <v>4.0999999999999996</v>
      </c>
      <c r="T107" s="224">
        <f t="shared" si="25"/>
        <v>0.5</v>
      </c>
      <c r="U107" s="224">
        <f t="shared" si="26"/>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1"/>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hidden="1" outlineLevel="1" x14ac:dyDescent="0.4">
      <c r="A108" s="30" t="str">
        <f t="shared" si="23"/>
        <v>modesg_out_empr_info_nfinorigem_scp3_emss</v>
      </c>
      <c r="B108" s="142" t="s">
        <v>26</v>
      </c>
      <c r="C108" s="138" t="s">
        <v>311</v>
      </c>
      <c r="D108" s="253" t="s">
        <v>40</v>
      </c>
      <c r="E108" s="254" t="s">
        <v>326</v>
      </c>
      <c r="F108" s="254"/>
      <c r="G108" s="253" t="s">
        <v>322</v>
      </c>
      <c r="H108" s="255" t="str">
        <f>VLOOKUP(A108,'2. Status Detalhe Campos'!$A$7:$G$574,7,0)</f>
        <v>6. Em implementação (re-especificação)</v>
      </c>
      <c r="I108" s="229" t="s">
        <v>38</v>
      </c>
      <c r="J108" s="153">
        <v>45621</v>
      </c>
      <c r="K108" s="229"/>
      <c r="L108" s="280">
        <f t="array" ref="L108">MIN(IF(V108:CH108&gt;0,$V$16:$CH$16))</f>
        <v>45636</v>
      </c>
      <c r="M108" s="279">
        <f t="array" ref="M108">MAX(IF(V108:CH108&gt;0,$V$16:$CH$16))</f>
        <v>45636</v>
      </c>
      <c r="N108" s="277">
        <f>VLOOKUP(H108,Auxiliar!$B$16:$E$24,4,0)</f>
        <v>0</v>
      </c>
      <c r="O108" s="277">
        <f t="shared" ca="1" si="24"/>
        <v>0</v>
      </c>
      <c r="P108" s="276">
        <f t="shared" ca="1" si="18"/>
        <v>0</v>
      </c>
      <c r="Q108" s="287" t="s">
        <v>38</v>
      </c>
      <c r="R108" s="230"/>
      <c r="S108" s="224">
        <v>4.0999999999999996</v>
      </c>
      <c r="T108" s="224">
        <f t="shared" si="25"/>
        <v>0.5</v>
      </c>
      <c r="U108" s="224">
        <f t="shared" si="26"/>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1"/>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hidden="1" outlineLevel="1" x14ac:dyDescent="0.4">
      <c r="A109" s="30" t="str">
        <f t="shared" si="23"/>
        <v>modesg_out_empr_info_nfinscp1_emss</v>
      </c>
      <c r="B109" s="142" t="s">
        <v>26</v>
      </c>
      <c r="C109" s="138" t="s">
        <v>311</v>
      </c>
      <c r="D109" s="253" t="s">
        <v>40</v>
      </c>
      <c r="E109" s="254" t="s">
        <v>326</v>
      </c>
      <c r="F109" s="254"/>
      <c r="G109" s="253" t="s">
        <v>286</v>
      </c>
      <c r="H109" s="255" t="str">
        <f>VLOOKUP(A109,'2. Status Detalhe Campos'!$A$7:$G$574,7,0)</f>
        <v>6. Em implementação (re-especificação)</v>
      </c>
      <c r="I109" s="229" t="s">
        <v>38</v>
      </c>
      <c r="J109" s="153">
        <v>45621</v>
      </c>
      <c r="K109" s="229"/>
      <c r="L109" s="280">
        <f t="array" ref="L109">MIN(IF(V109:CH109&gt;0,$V$16:$CH$16))</f>
        <v>45636</v>
      </c>
      <c r="M109" s="279">
        <f t="array" ref="M109">MAX(IF(V109:CH109&gt;0,$V$16:$CH$16))</f>
        <v>45637</v>
      </c>
      <c r="N109" s="277">
        <f>VLOOKUP(H109,Auxiliar!$B$16:$E$24,4,0)</f>
        <v>0</v>
      </c>
      <c r="O109" s="277">
        <f t="shared" ca="1" si="24"/>
        <v>0</v>
      </c>
      <c r="P109" s="276">
        <f t="shared" ca="1" si="18"/>
        <v>0</v>
      </c>
      <c r="Q109" s="287" t="s">
        <v>38</v>
      </c>
      <c r="R109" s="230"/>
      <c r="S109" s="224">
        <v>8.1</v>
      </c>
      <c r="T109" s="224">
        <f t="shared" si="25"/>
        <v>1</v>
      </c>
      <c r="U109" s="224">
        <f t="shared" si="26"/>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1"/>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hidden="1" outlineLevel="1" x14ac:dyDescent="0.4">
      <c r="A110" s="30" t="str">
        <f t="shared" si="23"/>
        <v>modesg_out_empr_info_nfinscp2_emss</v>
      </c>
      <c r="B110" s="142" t="s">
        <v>26</v>
      </c>
      <c r="C110" s="138" t="s">
        <v>311</v>
      </c>
      <c r="D110" s="253" t="s">
        <v>40</v>
      </c>
      <c r="E110" s="254" t="s">
        <v>326</v>
      </c>
      <c r="F110" s="254"/>
      <c r="G110" s="253" t="s">
        <v>287</v>
      </c>
      <c r="H110" s="255" t="str">
        <f>VLOOKUP(A110,'2. Status Detalhe Campos'!$A$7:$G$574,7,0)</f>
        <v>6. Em implementação (re-especificação)</v>
      </c>
      <c r="I110" s="229" t="s">
        <v>38</v>
      </c>
      <c r="J110" s="153">
        <v>45621</v>
      </c>
      <c r="K110" s="229"/>
      <c r="L110" s="280">
        <f t="array" ref="L110">MIN(IF(V110:CH110&gt;0,$V$16:$CH$16))</f>
        <v>45637</v>
      </c>
      <c r="M110" s="279">
        <f t="array" ref="M110">MAX(IF(V110:CH110&gt;0,$V$16:$CH$16))</f>
        <v>45639</v>
      </c>
      <c r="N110" s="277">
        <f>VLOOKUP(H110,Auxiliar!$B$16:$E$24,4,0)</f>
        <v>0</v>
      </c>
      <c r="O110" s="277">
        <f t="shared" ca="1" si="24"/>
        <v>0</v>
      </c>
      <c r="P110" s="276">
        <f t="shared" ca="1" si="18"/>
        <v>0</v>
      </c>
      <c r="Q110" s="287" t="s">
        <v>38</v>
      </c>
      <c r="R110" s="230"/>
      <c r="S110" s="224">
        <v>8.1</v>
      </c>
      <c r="T110" s="224">
        <f t="shared" si="25"/>
        <v>1</v>
      </c>
      <c r="U110" s="224">
        <f t="shared" si="26"/>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1"/>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hidden="1" outlineLevel="1" x14ac:dyDescent="0.4">
      <c r="A111" s="30" t="str">
        <f t="shared" si="23"/>
        <v>modesg_out_empr_info_nfinscp3_emss</v>
      </c>
      <c r="B111" s="142" t="s">
        <v>26</v>
      </c>
      <c r="C111" s="138" t="s">
        <v>311</v>
      </c>
      <c r="D111" s="253" t="s">
        <v>40</v>
      </c>
      <c r="E111" s="254" t="s">
        <v>326</v>
      </c>
      <c r="F111" s="254"/>
      <c r="G111" s="253" t="s">
        <v>288</v>
      </c>
      <c r="H111" s="255" t="str">
        <f>VLOOKUP(A111,'2. Status Detalhe Campos'!$A$7:$G$574,7,0)</f>
        <v>6. Em implementação (re-especificação)</v>
      </c>
      <c r="I111" s="229" t="s">
        <v>38</v>
      </c>
      <c r="J111" s="153">
        <v>45621</v>
      </c>
      <c r="K111" s="229"/>
      <c r="L111" s="280">
        <f t="array" ref="L111">MIN(IF(V111:CH111&gt;0,$V$16:$CH$16))</f>
        <v>45639</v>
      </c>
      <c r="M111" s="279">
        <f t="array" ref="M111">MAX(IF(V111:CH111&gt;0,$V$16:$CH$16))</f>
        <v>45642</v>
      </c>
      <c r="N111" s="277">
        <f>VLOOKUP(H111,Auxiliar!$B$16:$E$24,4,0)</f>
        <v>0</v>
      </c>
      <c r="O111" s="277">
        <f t="shared" ca="1" si="24"/>
        <v>0</v>
      </c>
      <c r="P111" s="276">
        <f t="shared" ca="1" si="18"/>
        <v>0</v>
      </c>
      <c r="Q111" s="287" t="s">
        <v>38</v>
      </c>
      <c r="R111" s="230"/>
      <c r="S111" s="224">
        <v>8.1</v>
      </c>
      <c r="T111" s="224">
        <f t="shared" si="25"/>
        <v>1</v>
      </c>
      <c r="U111" s="224">
        <f t="shared" si="26"/>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1"/>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ollapsed="1" x14ac:dyDescent="0.4">
      <c r="A112" s="30"/>
      <c r="B112" s="142" t="s">
        <v>26</v>
      </c>
      <c r="C112" s="138" t="s">
        <v>311</v>
      </c>
      <c r="D112" s="134"/>
      <c r="E112" s="260" t="s">
        <v>326</v>
      </c>
      <c r="F112" s="260" t="s">
        <v>2011</v>
      </c>
      <c r="G112" s="261">
        <f>COUNTA(G113:G116)</f>
        <v>4</v>
      </c>
      <c r="H112" s="136"/>
      <c r="I112" s="229" t="s">
        <v>38</v>
      </c>
      <c r="J112" s="258">
        <f>MIN(J113:J116)</f>
        <v>45624</v>
      </c>
      <c r="K112" s="229"/>
      <c r="L112" s="258">
        <f>MIN(L113:L116)</f>
        <v>45638</v>
      </c>
      <c r="M112" s="259">
        <f>MAX(M113:M116)</f>
        <v>45646</v>
      </c>
      <c r="N112" s="282">
        <f>SUMPRODUCT(N113:N116,T113:T116)/SUM(T113:T116)</f>
        <v>0</v>
      </c>
      <c r="O112" s="282">
        <f ca="1">SUMPRODUCT(O113:O116,T113:T116)/SUM(T113:T116)</f>
        <v>0</v>
      </c>
      <c r="P112" s="276">
        <f t="shared" ca="1" si="18"/>
        <v>0</v>
      </c>
      <c r="Q112" s="287" t="s">
        <v>38</v>
      </c>
      <c r="R112" s="230"/>
      <c r="S112" s="224"/>
      <c r="T112" s="224"/>
      <c r="U112" s="224"/>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1"/>
      <c r="AW112" s="79"/>
      <c r="AX112" s="79"/>
      <c r="AY112" s="79"/>
      <c r="AZ112" s="79"/>
      <c r="BA112" s="79"/>
      <c r="BB112" s="79"/>
      <c r="BC112" s="79"/>
      <c r="BD112" s="79"/>
      <c r="BE112" s="79"/>
      <c r="BF112" s="79"/>
      <c r="BG112" s="79"/>
      <c r="BH112" s="79"/>
      <c r="BI112" s="79"/>
      <c r="BJ112" s="79"/>
      <c r="BK112" s="79"/>
      <c r="BL112" s="266"/>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hidden="1" outlineLevel="1" x14ac:dyDescent="0.4">
      <c r="A113" s="30" t="str">
        <f>E113&amp;G113</f>
        <v>modesg_out_empr_info_nfinflg_rsc_fsc_agd</v>
      </c>
      <c r="B113" s="142" t="s">
        <v>26</v>
      </c>
      <c r="C113" s="138" t="s">
        <v>311</v>
      </c>
      <c r="D113" s="253" t="s">
        <v>40</v>
      </c>
      <c r="E113" s="254" t="s">
        <v>326</v>
      </c>
      <c r="F113" s="254"/>
      <c r="G113" s="253" t="s">
        <v>283</v>
      </c>
      <c r="H113" s="255" t="str">
        <f>VLOOKUP(A113,'2. Status Detalhe Campos'!$A$7:$G$574,7,0)</f>
        <v>6. Em implementação (re-especificação)</v>
      </c>
      <c r="I113" s="229" t="s">
        <v>38</v>
      </c>
      <c r="J113" s="153">
        <v>45624</v>
      </c>
      <c r="K113" s="229"/>
      <c r="L113" s="280">
        <f t="array" ref="L113">MIN(IF(V113:CH113&gt;0,$V$16:$CH$16))</f>
        <v>45643</v>
      </c>
      <c r="M113" s="279">
        <f t="array" ref="M113">MAX(IF(V113:CH113&gt;0,$V$16:$CH$16))</f>
        <v>45644</v>
      </c>
      <c r="N113" s="277">
        <f>VLOOKUP(H113,Auxiliar!$B$16:$E$24,4,0)</f>
        <v>0</v>
      </c>
      <c r="O113" s="277">
        <f t="shared" ref="O113:O116" ca="1" si="27">IF(TODAY()&lt;=L113,0,MIN((TODAY()-L113)/(M113-L113+1),100%))</f>
        <v>0</v>
      </c>
      <c r="P113" s="276">
        <f t="shared" ca="1" si="18"/>
        <v>0</v>
      </c>
      <c r="Q113" s="287" t="s">
        <v>38</v>
      </c>
      <c r="R113" s="230"/>
      <c r="S113" s="224">
        <v>16.100000000000001</v>
      </c>
      <c r="T113" s="224">
        <f>ROUND(S113/8,1)</f>
        <v>2</v>
      </c>
      <c r="U113" s="224">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1"/>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hidden="1" outlineLevel="1" x14ac:dyDescent="0.4">
      <c r="A114" s="30" t="str">
        <f>E114&amp;G114</f>
        <v>modesg_out_empr_info_nfinflg_rsc_fsc_crnc</v>
      </c>
      <c r="B114" s="142" t="s">
        <v>26</v>
      </c>
      <c r="C114" s="138" t="s">
        <v>311</v>
      </c>
      <c r="D114" s="253" t="s">
        <v>40</v>
      </c>
      <c r="E114" s="254" t="s">
        <v>326</v>
      </c>
      <c r="F114" s="254"/>
      <c r="G114" s="253" t="s">
        <v>284</v>
      </c>
      <c r="H114" s="255" t="str">
        <f>VLOOKUP(A114,'2. Status Detalhe Campos'!$A$7:$G$574,7,0)</f>
        <v>6. Em implementação (re-especificação)</v>
      </c>
      <c r="I114" s="229" t="s">
        <v>38</v>
      </c>
      <c r="J114" s="153">
        <v>45624</v>
      </c>
      <c r="K114" s="229"/>
      <c r="L114" s="280">
        <f t="array" ref="L114">MIN(IF(V114:CH114&gt;0,$V$16:$CH$16))</f>
        <v>45645</v>
      </c>
      <c r="M114" s="279">
        <f t="array" ref="M114">MAX(IF(V114:CH114&gt;0,$V$16:$CH$16))</f>
        <v>45646</v>
      </c>
      <c r="N114" s="277">
        <f>VLOOKUP(H114,Auxiliar!$B$16:$E$24,4,0)</f>
        <v>0</v>
      </c>
      <c r="O114" s="277">
        <f t="shared" ca="1" si="27"/>
        <v>0</v>
      </c>
      <c r="P114" s="276">
        <f t="shared" ca="1" si="18"/>
        <v>0</v>
      </c>
      <c r="Q114" s="287" t="s">
        <v>38</v>
      </c>
      <c r="R114" s="230"/>
      <c r="S114" s="224">
        <v>16.100000000000001</v>
      </c>
      <c r="T114" s="224">
        <f>ROUND(S114/8,1)</f>
        <v>2</v>
      </c>
      <c r="U114" s="224">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1"/>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hidden="1" outlineLevel="1" x14ac:dyDescent="0.4">
      <c r="A115" s="30" t="str">
        <f t="shared" si="21"/>
        <v>modesg_out_empr_info_nfinorigem_flg_rsc_fsc_agd</v>
      </c>
      <c r="B115" s="142" t="s">
        <v>26</v>
      </c>
      <c r="C115" s="138" t="s">
        <v>311</v>
      </c>
      <c r="D115" s="253" t="s">
        <v>40</v>
      </c>
      <c r="E115" s="254" t="s">
        <v>326</v>
      </c>
      <c r="F115" s="254"/>
      <c r="G115" s="253" t="s">
        <v>318</v>
      </c>
      <c r="H115" s="255" t="str">
        <f>VLOOKUP(A115,'2. Status Detalhe Campos'!$A$7:$G$574,7,0)</f>
        <v>6. Em implementação (re-especificação)</v>
      </c>
      <c r="I115" s="229" t="s">
        <v>38</v>
      </c>
      <c r="J115" s="153">
        <v>45624</v>
      </c>
      <c r="K115" s="229"/>
      <c r="L115" s="280">
        <f t="array" ref="L115">MIN(IF(V115:CH115&gt;0,$V$16:$CH$16))</f>
        <v>45638</v>
      </c>
      <c r="M115" s="279">
        <f t="array" ref="M115">MAX(IF(V115:CH115&gt;0,$V$16:$CH$16))</f>
        <v>45638</v>
      </c>
      <c r="N115" s="277">
        <f>VLOOKUP(H115,Auxiliar!$B$16:$E$24,4,0)</f>
        <v>0</v>
      </c>
      <c r="O115" s="277">
        <f t="shared" ca="1" si="27"/>
        <v>0</v>
      </c>
      <c r="P115" s="276">
        <f t="shared" ca="1" si="18"/>
        <v>0</v>
      </c>
      <c r="Q115" s="287" t="s">
        <v>38</v>
      </c>
      <c r="R115" s="230"/>
      <c r="S115" s="224">
        <v>4.0999999999999996</v>
      </c>
      <c r="T115" s="224">
        <f t="shared" si="22"/>
        <v>0.5</v>
      </c>
      <c r="U115" s="224">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1"/>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hidden="1" outlineLevel="1" x14ac:dyDescent="0.4">
      <c r="A116" s="30" t="str">
        <f t="shared" si="21"/>
        <v>modesg_out_empr_info_nfinorigem_flg_rsc_fsc_crnc</v>
      </c>
      <c r="B116" s="142" t="s">
        <v>26</v>
      </c>
      <c r="C116" s="138" t="s">
        <v>311</v>
      </c>
      <c r="D116" s="253" t="s">
        <v>40</v>
      </c>
      <c r="E116" s="254" t="s">
        <v>326</v>
      </c>
      <c r="F116" s="254"/>
      <c r="G116" s="253" t="s">
        <v>319</v>
      </c>
      <c r="H116" s="255" t="str">
        <f>VLOOKUP(A116,'2. Status Detalhe Campos'!$A$7:$G$574,7,0)</f>
        <v>6. Em implementação (re-especificação)</v>
      </c>
      <c r="I116" s="229" t="s">
        <v>38</v>
      </c>
      <c r="J116" s="153">
        <v>45624</v>
      </c>
      <c r="K116" s="229"/>
      <c r="L116" s="280">
        <f t="array" ref="L116">MIN(IF(V116:CH116&gt;0,$V$16:$CH$16))</f>
        <v>45638</v>
      </c>
      <c r="M116" s="279">
        <f t="array" ref="M116">MAX(IF(V116:CH116&gt;0,$V$16:$CH$16))</f>
        <v>45638</v>
      </c>
      <c r="N116" s="277">
        <f>VLOOKUP(H116,Auxiliar!$B$16:$E$24,4,0)</f>
        <v>0</v>
      </c>
      <c r="O116" s="277">
        <f t="shared" ca="1" si="27"/>
        <v>0</v>
      </c>
      <c r="P116" s="276">
        <f t="shared" ca="1" si="18"/>
        <v>0</v>
      </c>
      <c r="Q116" s="287" t="s">
        <v>38</v>
      </c>
      <c r="R116" s="230"/>
      <c r="S116" s="224">
        <v>4.0999999999999996</v>
      </c>
      <c r="T116" s="224">
        <f t="shared" si="22"/>
        <v>0.5</v>
      </c>
      <c r="U116" s="224">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1"/>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ollapsed="1" x14ac:dyDescent="0.4">
      <c r="A117" s="30"/>
      <c r="B117" s="142" t="s">
        <v>26</v>
      </c>
      <c r="C117" s="138" t="s">
        <v>311</v>
      </c>
      <c r="D117" s="134"/>
      <c r="E117" s="260" t="s">
        <v>332</v>
      </c>
      <c r="F117" s="260" t="s">
        <v>1989</v>
      </c>
      <c r="G117" s="261">
        <f>COUNTA(G118:G124)</f>
        <v>7</v>
      </c>
      <c r="H117" s="136"/>
      <c r="I117" s="229" t="s">
        <v>38</v>
      </c>
      <c r="J117" s="258">
        <f>MIN(J118:J124)</f>
        <v>45607</v>
      </c>
      <c r="K117" s="229"/>
      <c r="L117" s="258">
        <f>MIN(L118:L124)</f>
        <v>45608</v>
      </c>
      <c r="M117" s="259">
        <f>MAX(M118:M124)</f>
        <v>45618</v>
      </c>
      <c r="N117" s="282">
        <f>SUMPRODUCT(N118:N124,T118:T124)/SUM(T118:T124)</f>
        <v>0</v>
      </c>
      <c r="O117" s="282">
        <f ca="1">SUMPRODUCT(O118:O124,T118:T124)/SUM(T118:T124)</f>
        <v>0.22764227642276424</v>
      </c>
      <c r="P117" s="276">
        <f t="shared" ca="1" si="18"/>
        <v>-0.22764227642276424</v>
      </c>
      <c r="Q117" s="287" t="s">
        <v>38</v>
      </c>
      <c r="R117" s="230"/>
      <c r="S117" s="224"/>
      <c r="T117" s="224"/>
      <c r="U117" s="224"/>
      <c r="V117" s="79"/>
      <c r="W117" s="79"/>
      <c r="X117" s="79"/>
      <c r="Y117" s="79"/>
      <c r="Z117" s="79"/>
      <c r="AA117" s="79"/>
      <c r="AB117" s="79"/>
      <c r="AC117" s="92"/>
      <c r="AD117" s="79"/>
      <c r="AE117" s="79"/>
      <c r="AF117" s="79"/>
      <c r="AG117" s="79"/>
      <c r="AH117" s="79"/>
      <c r="AI117" s="231"/>
      <c r="AJ117" s="79"/>
      <c r="AK117" s="79"/>
      <c r="AL117" s="79"/>
      <c r="AM117" s="79"/>
      <c r="AN117" s="79"/>
      <c r="AO117" s="79"/>
      <c r="AP117" s="79"/>
      <c r="AQ117" s="79"/>
      <c r="AR117" s="266"/>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hidden="1" outlineLevel="1" x14ac:dyDescent="0.4">
      <c r="A118" s="30" t="str">
        <f t="shared" si="21"/>
        <v>modesg_out_emss_vclscnsm_co2</v>
      </c>
      <c r="B118" s="142" t="s">
        <v>26</v>
      </c>
      <c r="C118" s="138" t="s">
        <v>311</v>
      </c>
      <c r="D118" s="253" t="s">
        <v>40</v>
      </c>
      <c r="E118" s="254" t="s">
        <v>332</v>
      </c>
      <c r="F118" s="254"/>
      <c r="G118" s="253" t="s">
        <v>188</v>
      </c>
      <c r="H118" s="255" t="str">
        <f>VLOOKUP(A118,'2. Status Detalhe Campos'!$A$7:$G$574,7,0)</f>
        <v>6. Em implementação (re-especificação)</v>
      </c>
      <c r="I118" s="229" t="s">
        <v>38</v>
      </c>
      <c r="J118" s="153">
        <v>45607</v>
      </c>
      <c r="K118" s="229"/>
      <c r="L118" s="280">
        <f t="array" ref="L118">MIN(IF(V118:CH118&gt;0,$V$16:$CH$16))</f>
        <v>45618</v>
      </c>
      <c r="M118" s="279">
        <f t="array" ref="M118">MAX(IF(V118:CH118&gt;0,$V$16:$CH$16))</f>
        <v>45618</v>
      </c>
      <c r="N118" s="277">
        <f>VLOOKUP(H118,Auxiliar!$B$16:$E$24,4,0)</f>
        <v>0</v>
      </c>
      <c r="O118" s="277">
        <f t="shared" ref="O118:O124" ca="1" si="28">IF(TODAY()&lt;=L118,0,MIN((TODAY()-L118)/(M118-L118+1),100%))</f>
        <v>0</v>
      </c>
      <c r="P118" s="276">
        <f t="shared" ca="1" si="18"/>
        <v>0</v>
      </c>
      <c r="Q118" s="287" t="s">
        <v>38</v>
      </c>
      <c r="R118" s="230" t="s">
        <v>1961</v>
      </c>
      <c r="S118" s="224">
        <v>8.1</v>
      </c>
      <c r="T118" s="224">
        <f t="shared" si="22"/>
        <v>1</v>
      </c>
      <c r="U118" s="224">
        <f t="shared" ref="U118:U124" si="29">SUM(V118:CH118)-T118</f>
        <v>0</v>
      </c>
      <c r="V118" s="79"/>
      <c r="W118" s="79"/>
      <c r="X118" s="79"/>
      <c r="Y118" s="79"/>
      <c r="Z118" s="79"/>
      <c r="AA118" s="79"/>
      <c r="AB118" s="79"/>
      <c r="AC118" s="92"/>
      <c r="AD118" s="79"/>
      <c r="AE118" s="79"/>
      <c r="AF118" s="79"/>
      <c r="AG118" s="79"/>
      <c r="AH118" s="79"/>
      <c r="AI118" s="231"/>
      <c r="AJ118" s="79"/>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hidden="1" outlineLevel="1" x14ac:dyDescent="0.4">
      <c r="A119" s="30" t="str">
        <f t="shared" si="21"/>
        <v>modesg_out_emss_vclsorigem_scp1_emss</v>
      </c>
      <c r="B119" s="142" t="s">
        <v>26</v>
      </c>
      <c r="C119" s="138" t="s">
        <v>311</v>
      </c>
      <c r="D119" s="253" t="s">
        <v>40</v>
      </c>
      <c r="E119" s="254" t="s">
        <v>332</v>
      </c>
      <c r="F119" s="254"/>
      <c r="G119" s="253" t="s">
        <v>320</v>
      </c>
      <c r="H119" s="255" t="str">
        <f>VLOOKUP(A119,'2. Status Detalhe Campos'!$A$7:$G$574,7,0)</f>
        <v>6. Em implementação (re-especificação)</v>
      </c>
      <c r="I119" s="229" t="s">
        <v>38</v>
      </c>
      <c r="J119" s="153">
        <v>45607</v>
      </c>
      <c r="K119" s="229"/>
      <c r="L119" s="280">
        <f t="array" ref="L119">MIN(IF(V119:CH119&gt;0,$V$16:$CH$16))</f>
        <v>45608</v>
      </c>
      <c r="M119" s="279">
        <f t="array" ref="M119">MAX(IF(V119:CH119&gt;0,$V$16:$CH$16))</f>
        <v>45608</v>
      </c>
      <c r="N119" s="277">
        <f>VLOOKUP(H119,Auxiliar!$B$16:$E$24,4,0)</f>
        <v>0</v>
      </c>
      <c r="O119" s="277">
        <f t="shared" ca="1" si="28"/>
        <v>1</v>
      </c>
      <c r="P119" s="276">
        <f t="shared" ca="1" si="18"/>
        <v>-1</v>
      </c>
      <c r="Q119" s="287" t="s">
        <v>38</v>
      </c>
      <c r="R119" s="230" t="s">
        <v>1961</v>
      </c>
      <c r="S119" s="234">
        <v>3</v>
      </c>
      <c r="T119" s="224">
        <f t="shared" si="22"/>
        <v>0.4</v>
      </c>
      <c r="U119" s="224">
        <f t="shared" si="29"/>
        <v>0</v>
      </c>
      <c r="V119" s="79"/>
      <c r="W119" s="79"/>
      <c r="X119" s="79"/>
      <c r="Y119" s="79"/>
      <c r="Z119" s="79"/>
      <c r="AA119" s="79"/>
      <c r="AB119" s="79"/>
      <c r="AC119" s="92"/>
      <c r="AD119" s="79"/>
      <c r="AE119" s="79"/>
      <c r="AF119" s="79"/>
      <c r="AG119" s="79"/>
      <c r="AH119" s="79"/>
      <c r="AI119" s="231"/>
      <c r="AJ119" s="79">
        <v>0.4</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hidden="1" outlineLevel="1" x14ac:dyDescent="0.4">
      <c r="A120" s="30" t="str">
        <f t="shared" si="21"/>
        <v>modesg_out_emss_vclsorigem_scp2_emss</v>
      </c>
      <c r="B120" s="142" t="s">
        <v>26</v>
      </c>
      <c r="C120" s="138" t="s">
        <v>311</v>
      </c>
      <c r="D120" s="253" t="s">
        <v>40</v>
      </c>
      <c r="E120" s="254" t="s">
        <v>332</v>
      </c>
      <c r="F120" s="254"/>
      <c r="G120" s="253" t="s">
        <v>321</v>
      </c>
      <c r="H120" s="255" t="str">
        <f>VLOOKUP(A120,'2. Status Detalhe Campos'!$A$7:$G$574,7,0)</f>
        <v>6. Em implementação (re-especificação)</v>
      </c>
      <c r="I120" s="229" t="s">
        <v>38</v>
      </c>
      <c r="J120" s="153">
        <v>45607</v>
      </c>
      <c r="K120" s="229"/>
      <c r="L120" s="280">
        <f t="array" ref="L120">MIN(IF(V120:CH120&gt;0,$V$16:$CH$16))</f>
        <v>45608</v>
      </c>
      <c r="M120" s="279">
        <f t="array" ref="M120">MAX(IF(V120:CH120&gt;0,$V$16:$CH$16))</f>
        <v>45609</v>
      </c>
      <c r="N120" s="277">
        <f>VLOOKUP(H120,Auxiliar!$B$16:$E$24,4,0)</f>
        <v>0</v>
      </c>
      <c r="O120" s="277">
        <f t="shared" ca="1" si="28"/>
        <v>1</v>
      </c>
      <c r="P120" s="276">
        <f t="shared" ca="1" si="18"/>
        <v>-1</v>
      </c>
      <c r="Q120" s="287" t="s">
        <v>38</v>
      </c>
      <c r="R120" s="230" t="s">
        <v>1961</v>
      </c>
      <c r="S120" s="234">
        <v>3</v>
      </c>
      <c r="T120" s="224">
        <f t="shared" si="22"/>
        <v>0.4</v>
      </c>
      <c r="U120" s="224">
        <f t="shared" si="29"/>
        <v>0</v>
      </c>
      <c r="V120" s="79"/>
      <c r="W120" s="79"/>
      <c r="X120" s="79"/>
      <c r="Y120" s="79"/>
      <c r="Z120" s="79"/>
      <c r="AA120" s="79"/>
      <c r="AB120" s="79"/>
      <c r="AC120" s="92"/>
      <c r="AD120" s="79"/>
      <c r="AE120" s="79"/>
      <c r="AF120" s="79"/>
      <c r="AG120" s="79"/>
      <c r="AH120" s="79"/>
      <c r="AI120" s="231"/>
      <c r="AJ120" s="79">
        <v>0.1</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hidden="1" outlineLevel="1" x14ac:dyDescent="0.4">
      <c r="A121" s="30" t="str">
        <f t="shared" si="21"/>
        <v>modesg_out_emss_vclsorigem_scp3_emss</v>
      </c>
      <c r="B121" s="142" t="s">
        <v>26</v>
      </c>
      <c r="C121" s="138" t="s">
        <v>311</v>
      </c>
      <c r="D121" s="253" t="s">
        <v>40</v>
      </c>
      <c r="E121" s="254" t="s">
        <v>332</v>
      </c>
      <c r="F121" s="254"/>
      <c r="G121" s="253" t="s">
        <v>322</v>
      </c>
      <c r="H121" s="255" t="str">
        <f>VLOOKUP(A121,'2. Status Detalhe Campos'!$A$7:$G$574,7,0)</f>
        <v>6. Em implementação (re-especificação)</v>
      </c>
      <c r="I121" s="229" t="s">
        <v>38</v>
      </c>
      <c r="J121" s="153">
        <v>45607</v>
      </c>
      <c r="K121" s="229"/>
      <c r="L121" s="280">
        <f t="array" ref="L121">MIN(IF(V121:CH121&gt;0,$V$16:$CH$16))</f>
        <v>45609</v>
      </c>
      <c r="M121" s="279">
        <f t="array" ref="M121">MAX(IF(V121:CH121&gt;0,$V$16:$CH$16))</f>
        <v>45609</v>
      </c>
      <c r="N121" s="277">
        <f>VLOOKUP(H121,Auxiliar!$B$16:$E$24,4,0)</f>
        <v>0</v>
      </c>
      <c r="O121" s="277">
        <f t="shared" ca="1" si="28"/>
        <v>1</v>
      </c>
      <c r="P121" s="276">
        <f t="shared" ca="1" si="18"/>
        <v>-1</v>
      </c>
      <c r="Q121" s="287" t="s">
        <v>38</v>
      </c>
      <c r="R121" s="230" t="s">
        <v>1961</v>
      </c>
      <c r="S121" s="234">
        <v>3</v>
      </c>
      <c r="T121" s="224">
        <f t="shared" si="22"/>
        <v>0.4</v>
      </c>
      <c r="U121" s="224">
        <f t="shared" si="29"/>
        <v>0</v>
      </c>
      <c r="V121" s="79"/>
      <c r="W121" s="79"/>
      <c r="X121" s="79"/>
      <c r="Y121" s="79"/>
      <c r="Z121" s="79"/>
      <c r="AA121" s="79"/>
      <c r="AB121" s="79"/>
      <c r="AC121" s="92"/>
      <c r="AD121" s="79"/>
      <c r="AE121" s="79"/>
      <c r="AF121" s="79"/>
      <c r="AG121" s="79"/>
      <c r="AH121" s="79"/>
      <c r="AI121" s="231"/>
      <c r="AJ121" s="79"/>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hidden="1" outlineLevel="1" x14ac:dyDescent="0.4">
      <c r="A122" s="30" t="str">
        <f t="shared" si="21"/>
        <v>modesg_out_emss_vclsscp1_emss</v>
      </c>
      <c r="B122" s="142" t="s">
        <v>26</v>
      </c>
      <c r="C122" s="138" t="s">
        <v>311</v>
      </c>
      <c r="D122" s="253" t="s">
        <v>40</v>
      </c>
      <c r="E122" s="254" t="s">
        <v>332</v>
      </c>
      <c r="F122" s="254"/>
      <c r="G122" s="253" t="s">
        <v>286</v>
      </c>
      <c r="H122" s="255" t="str">
        <f>VLOOKUP(A122,'2. Status Detalhe Campos'!$A$7:$G$574,7,0)</f>
        <v>6. Em implementação (re-especificação)</v>
      </c>
      <c r="I122" s="229" t="s">
        <v>38</v>
      </c>
      <c r="J122" s="153">
        <v>45607</v>
      </c>
      <c r="K122" s="229"/>
      <c r="L122" s="280">
        <f t="array" ref="L122">MIN(IF(V122:CH122&gt;0,$V$16:$CH$16))</f>
        <v>45609</v>
      </c>
      <c r="M122" s="279">
        <f t="array" ref="M122">MAX(IF(V122:CH122&gt;0,$V$16:$CH$16))</f>
        <v>45611</v>
      </c>
      <c r="N122" s="277">
        <f>VLOOKUP(H122,Auxiliar!$B$16:$E$24,4,0)</f>
        <v>0</v>
      </c>
      <c r="O122" s="277">
        <f t="shared" ca="1" si="28"/>
        <v>0.33333333333333331</v>
      </c>
      <c r="P122" s="276">
        <f t="shared" ca="1" si="18"/>
        <v>-0.33333333333333331</v>
      </c>
      <c r="Q122" s="287" t="s">
        <v>38</v>
      </c>
      <c r="R122" s="230" t="s">
        <v>1961</v>
      </c>
      <c r="S122" s="224">
        <v>16.100000000000001</v>
      </c>
      <c r="T122" s="224">
        <f t="shared" si="22"/>
        <v>2</v>
      </c>
      <c r="U122" s="224">
        <f t="shared" si="29"/>
        <v>0</v>
      </c>
      <c r="V122" s="79"/>
      <c r="W122" s="79"/>
      <c r="X122" s="79"/>
      <c r="Y122" s="79"/>
      <c r="Z122" s="79"/>
      <c r="AA122" s="79"/>
      <c r="AB122" s="79"/>
      <c r="AC122" s="92"/>
      <c r="AD122" s="79"/>
      <c r="AE122" s="79"/>
      <c r="AF122" s="79"/>
      <c r="AG122" s="79"/>
      <c r="AH122" s="79"/>
      <c r="AI122" s="231"/>
      <c r="AJ122" s="79"/>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hidden="1" outlineLevel="1" x14ac:dyDescent="0.4">
      <c r="A123" s="30" t="str">
        <f t="shared" si="21"/>
        <v>modesg_out_emss_vclsscp2_emss</v>
      </c>
      <c r="B123" s="142" t="s">
        <v>26</v>
      </c>
      <c r="C123" s="138" t="s">
        <v>311</v>
      </c>
      <c r="D123" s="253" t="s">
        <v>40</v>
      </c>
      <c r="E123" s="254" t="s">
        <v>332</v>
      </c>
      <c r="F123" s="254"/>
      <c r="G123" s="253" t="s">
        <v>287</v>
      </c>
      <c r="H123" s="255" t="str">
        <f>VLOOKUP(A123,'2. Status Detalhe Campos'!$A$7:$G$574,7,0)</f>
        <v>6. Em implementação (re-especificação)</v>
      </c>
      <c r="I123" s="229" t="s">
        <v>38</v>
      </c>
      <c r="J123" s="153">
        <v>45607</v>
      </c>
      <c r="K123" s="229"/>
      <c r="L123" s="280">
        <f t="array" ref="L123">MIN(IF(V123:CH123&gt;0,$V$16:$CH$16))</f>
        <v>45611</v>
      </c>
      <c r="M123" s="279">
        <f t="array" ref="M123">MAX(IF(V123:CH123&gt;0,$V$16:$CH$16))</f>
        <v>45615</v>
      </c>
      <c r="N123" s="277">
        <f>VLOOKUP(H123,Auxiliar!$B$16:$E$24,4,0)</f>
        <v>0</v>
      </c>
      <c r="O123" s="277">
        <f t="shared" ca="1" si="28"/>
        <v>0</v>
      </c>
      <c r="P123" s="276">
        <f t="shared" ca="1" si="18"/>
        <v>0</v>
      </c>
      <c r="Q123" s="287" t="s">
        <v>38</v>
      </c>
      <c r="R123" s="230" t="s">
        <v>1961</v>
      </c>
      <c r="S123" s="224">
        <v>16.100000000000001</v>
      </c>
      <c r="T123" s="224">
        <f t="shared" si="22"/>
        <v>2</v>
      </c>
      <c r="U123" s="224">
        <f t="shared" si="29"/>
        <v>0</v>
      </c>
      <c r="V123" s="79"/>
      <c r="W123" s="79"/>
      <c r="X123" s="79"/>
      <c r="Y123" s="79"/>
      <c r="Z123" s="79"/>
      <c r="AA123" s="79"/>
      <c r="AB123" s="79"/>
      <c r="AC123" s="92"/>
      <c r="AD123" s="79"/>
      <c r="AE123" s="79"/>
      <c r="AF123" s="79"/>
      <c r="AG123" s="79"/>
      <c r="AH123" s="79"/>
      <c r="AI123" s="231"/>
      <c r="AJ123" s="79"/>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hidden="1" outlineLevel="1" x14ac:dyDescent="0.4">
      <c r="A124" s="30" t="str">
        <f t="shared" si="21"/>
        <v>modesg_out_emss_vclsscp3_emss</v>
      </c>
      <c r="B124" s="142" t="s">
        <v>26</v>
      </c>
      <c r="C124" s="138" t="s">
        <v>311</v>
      </c>
      <c r="D124" s="253" t="s">
        <v>40</v>
      </c>
      <c r="E124" s="254" t="s">
        <v>332</v>
      </c>
      <c r="F124" s="254"/>
      <c r="G124" s="253" t="s">
        <v>288</v>
      </c>
      <c r="H124" s="255" t="str">
        <f>VLOOKUP(A124,'2. Status Detalhe Campos'!$A$7:$G$574,7,0)</f>
        <v>6. Em implementação (re-especificação)</v>
      </c>
      <c r="I124" s="229" t="s">
        <v>38</v>
      </c>
      <c r="J124" s="153">
        <v>45607</v>
      </c>
      <c r="K124" s="229"/>
      <c r="L124" s="280">
        <f t="array" ref="L124">MIN(IF(V124:CH124&gt;0,$V$16:$CH$16))</f>
        <v>45615</v>
      </c>
      <c r="M124" s="279">
        <f t="array" ref="M124">MAX(IF(V124:CH124&gt;0,$V$16:$CH$16))</f>
        <v>45617</v>
      </c>
      <c r="N124" s="277">
        <f>VLOOKUP(H124,Auxiliar!$B$16:$E$24,4,0)</f>
        <v>0</v>
      </c>
      <c r="O124" s="277">
        <f t="shared" ca="1" si="28"/>
        <v>0</v>
      </c>
      <c r="P124" s="276">
        <f t="shared" ca="1" si="18"/>
        <v>0</v>
      </c>
      <c r="Q124" s="287" t="s">
        <v>38</v>
      </c>
      <c r="R124" s="230" t="s">
        <v>1961</v>
      </c>
      <c r="S124" s="224">
        <v>16.100000000000001</v>
      </c>
      <c r="T124" s="224">
        <f t="shared" si="22"/>
        <v>2</v>
      </c>
      <c r="U124" s="233">
        <f t="shared" si="29"/>
        <v>0.29999999999999982</v>
      </c>
      <c r="V124" s="79"/>
      <c r="W124" s="79"/>
      <c r="X124" s="79"/>
      <c r="Y124" s="79"/>
      <c r="Z124" s="79"/>
      <c r="AA124" s="79"/>
      <c r="AB124" s="79"/>
      <c r="AC124" s="92"/>
      <c r="AD124" s="79"/>
      <c r="AE124" s="79"/>
      <c r="AF124" s="79"/>
      <c r="AG124" s="79"/>
      <c r="AH124" s="79"/>
      <c r="AI124" s="231"/>
      <c r="AJ124" s="79"/>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ollapsed="1" x14ac:dyDescent="0.4">
      <c r="A125" s="30"/>
      <c r="B125" s="142" t="s">
        <v>26</v>
      </c>
      <c r="C125" s="138" t="s">
        <v>311</v>
      </c>
      <c r="D125" s="134"/>
      <c r="E125" s="260" t="s">
        <v>334</v>
      </c>
      <c r="F125" s="260" t="s">
        <v>1989</v>
      </c>
      <c r="G125" s="261">
        <f>COUNTA(G126:G137)</f>
        <v>12</v>
      </c>
      <c r="H125" s="136"/>
      <c r="I125" s="229" t="s">
        <v>38</v>
      </c>
      <c r="J125" s="258">
        <f>MIN(J126:J137)</f>
        <v>45624</v>
      </c>
      <c r="K125" s="229"/>
      <c r="L125" s="258">
        <f>MIN(L126:L137)</f>
        <v>45630</v>
      </c>
      <c r="M125" s="259">
        <f>MAX(M126:M137)</f>
        <v>45645</v>
      </c>
      <c r="N125" s="282">
        <f>SUMPRODUCT(N126:N137,T126:T137)/SUM(T126:T137)</f>
        <v>0</v>
      </c>
      <c r="O125" s="282">
        <f ca="1">SUMPRODUCT(O126:O137,T126:T137)/SUM(T126:T137)</f>
        <v>0</v>
      </c>
      <c r="P125" s="276">
        <f t="shared" ca="1" si="18"/>
        <v>0</v>
      </c>
      <c r="Q125" s="287" t="s">
        <v>38</v>
      </c>
      <c r="R125" s="230"/>
      <c r="S125" s="224"/>
      <c r="T125" s="224"/>
      <c r="U125" s="224"/>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1"/>
      <c r="AW125" s="79"/>
      <c r="AX125" s="79"/>
      <c r="AY125" s="79"/>
      <c r="AZ125" s="79"/>
      <c r="BA125" s="79"/>
      <c r="BB125" s="79"/>
      <c r="BC125" s="79"/>
      <c r="BD125" s="79"/>
      <c r="BE125" s="79"/>
      <c r="BF125" s="79"/>
      <c r="BG125" s="79"/>
      <c r="BH125" s="79"/>
      <c r="BI125" s="79"/>
      <c r="BJ125" s="79"/>
      <c r="BK125" s="79"/>
      <c r="BL125" s="266"/>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hidden="1" outlineLevel="1" x14ac:dyDescent="0.4">
      <c r="A126" s="30" t="str">
        <f t="shared" si="21"/>
        <v>modesg_out_sfcs_taxon_europeiacbalcao</v>
      </c>
      <c r="B126" s="142" t="s">
        <v>26</v>
      </c>
      <c r="C126" s="138" t="s">
        <v>311</v>
      </c>
      <c r="D126" s="253" t="s">
        <v>40</v>
      </c>
      <c r="E126" s="254" t="s">
        <v>334</v>
      </c>
      <c r="F126" s="254"/>
      <c r="G126" s="253" t="s">
        <v>183</v>
      </c>
      <c r="H126" s="255" t="str">
        <f>VLOOKUP(A126,'2. Status Detalhe Campos'!$A$7:$G$574,7,0)</f>
        <v>6. Em implementação (re-especificação)</v>
      </c>
      <c r="I126" s="229" t="s">
        <v>38</v>
      </c>
      <c r="J126" s="153">
        <v>45624</v>
      </c>
      <c r="K126" s="229"/>
      <c r="L126" s="280">
        <f t="array" ref="L126">MIN(IF(V126:CH126&gt;0,$V$16:$CH$16))</f>
        <v>45630</v>
      </c>
      <c r="M126" s="279">
        <f t="array" ref="M126">MAX(IF(V126:CH126&gt;0,$V$16:$CH$16))</f>
        <v>45630</v>
      </c>
      <c r="N126" s="277">
        <f>VLOOKUP(H126,Auxiliar!$B$16:$E$24,4,0)</f>
        <v>0</v>
      </c>
      <c r="O126" s="277">
        <f t="shared" ref="O126:O137" ca="1" si="30">IF(TODAY()&lt;=L126,0,MIN((TODAY()-L126)/(M126-L126+1),100%))</f>
        <v>0</v>
      </c>
      <c r="P126" s="276">
        <f t="shared" ca="1" si="18"/>
        <v>0</v>
      </c>
      <c r="Q126" s="276"/>
      <c r="R126" s="230"/>
      <c r="S126" s="224">
        <v>4.0999999999999996</v>
      </c>
      <c r="T126" s="224">
        <f t="shared" si="22"/>
        <v>0.5</v>
      </c>
      <c r="U126" s="224">
        <f t="shared" ref="U126:U137" si="31">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1"/>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hidden="1" outlineLevel="1" x14ac:dyDescent="0.4">
      <c r="A127" s="30" t="str">
        <f t="shared" si="21"/>
        <v>modesg_out_sfcs_taxon_europeiacempresa</v>
      </c>
      <c r="B127" s="142" t="s">
        <v>26</v>
      </c>
      <c r="C127" s="138" t="s">
        <v>311</v>
      </c>
      <c r="D127" s="253" t="s">
        <v>40</v>
      </c>
      <c r="E127" s="254" t="s">
        <v>334</v>
      </c>
      <c r="F127" s="254"/>
      <c r="G127" s="253" t="s">
        <v>184</v>
      </c>
      <c r="H127" s="255" t="str">
        <f>VLOOKUP(A127,'2. Status Detalhe Campos'!$A$7:$G$574,7,0)</f>
        <v>6. Em implementação (re-especificação)</v>
      </c>
      <c r="I127" s="229" t="s">
        <v>38</v>
      </c>
      <c r="J127" s="153">
        <v>45624</v>
      </c>
      <c r="K127" s="229"/>
      <c r="L127" s="280">
        <f t="array" ref="L127">MIN(IF(V127:CH127&gt;0,$V$16:$CH$16))</f>
        <v>45630</v>
      </c>
      <c r="M127" s="279">
        <f t="array" ref="M127">MAX(IF(V127:CH127&gt;0,$V$16:$CH$16))</f>
        <v>45630</v>
      </c>
      <c r="N127" s="277">
        <f>VLOOKUP(H127,Auxiliar!$B$16:$E$24,4,0)</f>
        <v>0</v>
      </c>
      <c r="O127" s="277">
        <f t="shared" ca="1" si="30"/>
        <v>0</v>
      </c>
      <c r="P127" s="276">
        <f t="shared" ca="1" si="18"/>
        <v>0</v>
      </c>
      <c r="Q127" s="276"/>
      <c r="R127" s="230"/>
      <c r="S127" s="224">
        <v>4.0999999999999996</v>
      </c>
      <c r="T127" s="224">
        <f t="shared" si="22"/>
        <v>0.5</v>
      </c>
      <c r="U127" s="224">
        <f t="shared" si="31"/>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1"/>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hidden="1" outlineLevel="1" x14ac:dyDescent="0.4">
      <c r="A128" s="30" t="str">
        <f t="shared" si="21"/>
        <v>modesg_out_sfcs_taxon_europeiacnumecta</v>
      </c>
      <c r="B128" s="142" t="s">
        <v>26</v>
      </c>
      <c r="C128" s="138" t="s">
        <v>311</v>
      </c>
      <c r="D128" s="253" t="s">
        <v>40</v>
      </c>
      <c r="E128" s="254" t="s">
        <v>334</v>
      </c>
      <c r="F128" s="254"/>
      <c r="G128" s="253" t="s">
        <v>189</v>
      </c>
      <c r="H128" s="255" t="str">
        <f>VLOOKUP(A128,'2. Status Detalhe Campos'!$A$7:$G$574,7,0)</f>
        <v>6. Em implementação (re-especificação)</v>
      </c>
      <c r="I128" s="229" t="s">
        <v>38</v>
      </c>
      <c r="J128" s="153">
        <v>45624</v>
      </c>
      <c r="K128" s="229"/>
      <c r="L128" s="280">
        <f t="array" ref="L128">MIN(IF(V128:CH128&gt;0,$V$16:$CH$16))</f>
        <v>45631</v>
      </c>
      <c r="M128" s="279">
        <f t="array" ref="M128">MAX(IF(V128:CH128&gt;0,$V$16:$CH$16))</f>
        <v>45631</v>
      </c>
      <c r="N128" s="277">
        <f>VLOOKUP(H128,Auxiliar!$B$16:$E$24,4,0)</f>
        <v>0</v>
      </c>
      <c r="O128" s="277">
        <f t="shared" ca="1" si="30"/>
        <v>0</v>
      </c>
      <c r="P128" s="276">
        <f t="shared" ca="1" si="18"/>
        <v>0</v>
      </c>
      <c r="Q128" s="276"/>
      <c r="R128" s="230"/>
      <c r="S128" s="224">
        <v>4.0999999999999996</v>
      </c>
      <c r="T128" s="224">
        <f t="shared" si="22"/>
        <v>0.5</v>
      </c>
      <c r="U128" s="224">
        <f t="shared" si="31"/>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1"/>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hidden="1" outlineLevel="1" x14ac:dyDescent="0.4">
      <c r="A129" s="30" t="str">
        <f t="shared" si="21"/>
        <v>modesg_out_sfcs_taxon_europeiacod_regra</v>
      </c>
      <c r="B129" s="142" t="s">
        <v>26</v>
      </c>
      <c r="C129" s="138" t="s">
        <v>311</v>
      </c>
      <c r="D129" s="253" t="s">
        <v>40</v>
      </c>
      <c r="E129" s="254" t="s">
        <v>334</v>
      </c>
      <c r="F129" s="254"/>
      <c r="G129" s="253" t="s">
        <v>191</v>
      </c>
      <c r="H129" s="255" t="str">
        <f>VLOOKUP(A129,'2. Status Detalhe Campos'!$A$7:$G$574,7,0)</f>
        <v>6. Em implementação (re-especificação)</v>
      </c>
      <c r="I129" s="229" t="s">
        <v>38</v>
      </c>
      <c r="J129" s="153">
        <v>45624</v>
      </c>
      <c r="K129" s="229"/>
      <c r="L129" s="280">
        <f t="array" ref="L129">MIN(IF(V129:CH129&gt;0,$V$16:$CH$16))</f>
        <v>45631</v>
      </c>
      <c r="M129" s="279">
        <f t="array" ref="M129">MAX(IF(V129:CH129&gt;0,$V$16:$CH$16))</f>
        <v>45631</v>
      </c>
      <c r="N129" s="277">
        <f>VLOOKUP(H129,Auxiliar!$B$16:$E$24,4,0)</f>
        <v>0</v>
      </c>
      <c r="O129" s="277">
        <f t="shared" ca="1" si="30"/>
        <v>0</v>
      </c>
      <c r="P129" s="276">
        <f t="shared" ca="1" si="18"/>
        <v>0</v>
      </c>
      <c r="Q129" s="276"/>
      <c r="R129" s="230"/>
      <c r="S129" s="224">
        <v>4.0999999999999996</v>
      </c>
      <c r="T129" s="224">
        <f t="shared" si="22"/>
        <v>0.5</v>
      </c>
      <c r="U129" s="224">
        <f t="shared" si="31"/>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1"/>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hidden="1" outlineLevel="1" x14ac:dyDescent="0.4">
      <c r="A130" s="30" t="str">
        <f t="shared" si="21"/>
        <v>modesg_out_sfcs_taxon_europeiamontante_pndrc</v>
      </c>
      <c r="B130" s="142" t="s">
        <v>26</v>
      </c>
      <c r="C130" s="138" t="s">
        <v>311</v>
      </c>
      <c r="D130" s="253" t="s">
        <v>40</v>
      </c>
      <c r="E130" s="254" t="s">
        <v>334</v>
      </c>
      <c r="F130" s="254"/>
      <c r="G130" s="253" t="s">
        <v>202</v>
      </c>
      <c r="H130" s="255" t="str">
        <f>VLOOKUP(A130,'2. Status Detalhe Campos'!$A$7:$G$574,7,0)</f>
        <v>6. Em implementação (re-especificação)</v>
      </c>
      <c r="I130" s="229" t="s">
        <v>38</v>
      </c>
      <c r="J130" s="153">
        <v>45624</v>
      </c>
      <c r="K130" s="229"/>
      <c r="L130" s="280">
        <f t="array" ref="L130">MIN(IF(V130:CH130&gt;0,$V$16:$CH$16))</f>
        <v>45632</v>
      </c>
      <c r="M130" s="279">
        <f t="array" ref="M130">MAX(IF(V130:CH130&gt;0,$V$16:$CH$16))</f>
        <v>45635</v>
      </c>
      <c r="N130" s="277">
        <f>VLOOKUP(H130,Auxiliar!$B$16:$E$24,4,0)</f>
        <v>0</v>
      </c>
      <c r="O130" s="277">
        <f t="shared" ca="1" si="30"/>
        <v>0</v>
      </c>
      <c r="P130" s="276">
        <f t="shared" ca="1" si="18"/>
        <v>0</v>
      </c>
      <c r="Q130" s="276"/>
      <c r="R130" s="230"/>
      <c r="S130" s="224">
        <v>16.100000000000001</v>
      </c>
      <c r="T130" s="224">
        <f t="shared" si="22"/>
        <v>2</v>
      </c>
      <c r="U130" s="224">
        <f t="shared" si="31"/>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1"/>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hidden="1" outlineLevel="1" x14ac:dyDescent="0.4">
      <c r="A131" s="30" t="str">
        <f t="shared" si="21"/>
        <v>modesg_out_sfcs_taxon_europeianome_ctgr_sfcs</v>
      </c>
      <c r="B131" s="142" t="s">
        <v>26</v>
      </c>
      <c r="C131" s="138" t="s">
        <v>311</v>
      </c>
      <c r="D131" s="253" t="s">
        <v>40</v>
      </c>
      <c r="E131" s="254" t="s">
        <v>334</v>
      </c>
      <c r="F131" s="254"/>
      <c r="G131" s="253" t="s">
        <v>203</v>
      </c>
      <c r="H131" s="255" t="str">
        <f>VLOOKUP(A131,'2. Status Detalhe Campos'!$A$7:$G$574,7,0)</f>
        <v>6. Em implementação (re-especificação)</v>
      </c>
      <c r="I131" s="229" t="s">
        <v>38</v>
      </c>
      <c r="J131" s="153">
        <v>45624</v>
      </c>
      <c r="K131" s="229"/>
      <c r="L131" s="280">
        <f t="array" ref="L131">MIN(IF(V131:CH131&gt;0,$V$16:$CH$16))</f>
        <v>45636</v>
      </c>
      <c r="M131" s="279">
        <f t="array" ref="M131">MAX(IF(V131:CH131&gt;0,$V$16:$CH$16))</f>
        <v>45637</v>
      </c>
      <c r="N131" s="277">
        <f>VLOOKUP(H131,Auxiliar!$B$16:$E$24,4,0)</f>
        <v>0</v>
      </c>
      <c r="O131" s="277">
        <f t="shared" ca="1" si="30"/>
        <v>0</v>
      </c>
      <c r="P131" s="276">
        <f t="shared" ca="1" si="18"/>
        <v>0</v>
      </c>
      <c r="Q131" s="276"/>
      <c r="R131" s="230"/>
      <c r="S131" s="224">
        <v>16.100000000000001</v>
      </c>
      <c r="T131" s="224">
        <f t="shared" si="22"/>
        <v>2</v>
      </c>
      <c r="U131" s="224">
        <f t="shared" si="31"/>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1"/>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hidden="1" outlineLevel="1" x14ac:dyDescent="0.4">
      <c r="A132" s="30" t="str">
        <f t="shared" si="21"/>
        <v>modesg_out_sfcs_taxon_europeianome_general_specific_purpose</v>
      </c>
      <c r="B132" s="142" t="s">
        <v>26</v>
      </c>
      <c r="C132" s="138" t="s">
        <v>311</v>
      </c>
      <c r="D132" s="253" t="s">
        <v>40</v>
      </c>
      <c r="E132" s="254" t="s">
        <v>334</v>
      </c>
      <c r="F132" s="254"/>
      <c r="G132" s="253" t="s">
        <v>204</v>
      </c>
      <c r="H132" s="255" t="str">
        <f>VLOOKUP(A132,'2. Status Detalhe Campos'!$A$7:$G$574,7,0)</f>
        <v>6. Em implementação (re-especificação)</v>
      </c>
      <c r="I132" s="229" t="s">
        <v>38</v>
      </c>
      <c r="J132" s="153">
        <v>45624</v>
      </c>
      <c r="K132" s="229"/>
      <c r="L132" s="280">
        <f t="array" ref="L132">MIN(IF(V132:CH132&gt;0,$V$16:$CH$16))</f>
        <v>45638</v>
      </c>
      <c r="M132" s="279">
        <f t="array" ref="M132">MAX(IF(V132:CH132&gt;0,$V$16:$CH$16))</f>
        <v>45638</v>
      </c>
      <c r="N132" s="277">
        <f>VLOOKUP(H132,Auxiliar!$B$16:$E$24,4,0)</f>
        <v>0</v>
      </c>
      <c r="O132" s="277">
        <f t="shared" ca="1" si="30"/>
        <v>0</v>
      </c>
      <c r="P132" s="276">
        <f t="shared" ca="1" si="18"/>
        <v>0</v>
      </c>
      <c r="Q132" s="276"/>
      <c r="R132" s="230"/>
      <c r="S132" s="224">
        <v>8.1</v>
      </c>
      <c r="T132" s="224">
        <f t="shared" si="22"/>
        <v>1</v>
      </c>
      <c r="U132" s="224">
        <f t="shared" si="31"/>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1"/>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hidden="1" outlineLevel="1" x14ac:dyDescent="0.4">
      <c r="A133" s="30" t="str">
        <f t="shared" si="21"/>
        <v>modesg_out_sfcs_taxon_europeianome_purpose_esg</v>
      </c>
      <c r="B133" s="142" t="s">
        <v>26</v>
      </c>
      <c r="C133" s="138" t="s">
        <v>311</v>
      </c>
      <c r="D133" s="253" t="s">
        <v>40</v>
      </c>
      <c r="E133" s="254" t="s">
        <v>334</v>
      </c>
      <c r="F133" s="254"/>
      <c r="G133" s="253" t="s">
        <v>205</v>
      </c>
      <c r="H133" s="255" t="str">
        <f>VLOOKUP(A133,'2. Status Detalhe Campos'!$A$7:$G$574,7,0)</f>
        <v>6. Em implementação (re-especificação)</v>
      </c>
      <c r="I133" s="229" t="s">
        <v>38</v>
      </c>
      <c r="J133" s="153">
        <v>45624</v>
      </c>
      <c r="K133" s="229"/>
      <c r="L133" s="280">
        <f t="array" ref="L133">MIN(IF(V133:CH133&gt;0,$V$16:$CH$16))</f>
        <v>45639</v>
      </c>
      <c r="M133" s="279">
        <f t="array" ref="M133">MAX(IF(V133:CH133&gt;0,$V$16:$CH$16))</f>
        <v>45639</v>
      </c>
      <c r="N133" s="277">
        <f>VLOOKUP(H133,Auxiliar!$B$16:$E$24,4,0)</f>
        <v>0</v>
      </c>
      <c r="O133" s="277">
        <f t="shared" ca="1" si="30"/>
        <v>0</v>
      </c>
      <c r="P133" s="276">
        <f t="shared" ca="1" si="18"/>
        <v>0</v>
      </c>
      <c r="Q133" s="276"/>
      <c r="R133" s="230"/>
      <c r="S133" s="224">
        <v>8.1</v>
      </c>
      <c r="T133" s="224">
        <f t="shared" si="22"/>
        <v>1</v>
      </c>
      <c r="U133" s="224">
        <f t="shared" si="31"/>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1"/>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hidden="1" outlineLevel="1" x14ac:dyDescent="0.4">
      <c r="A134" s="30" t="str">
        <f t="shared" si="21"/>
        <v>modesg_out_sfcs_taxon_europeianome_specific_eligible</v>
      </c>
      <c r="B134" s="142" t="s">
        <v>26</v>
      </c>
      <c r="C134" s="138" t="s">
        <v>311</v>
      </c>
      <c r="D134" s="253" t="s">
        <v>40</v>
      </c>
      <c r="E134" s="254" t="s">
        <v>334</v>
      </c>
      <c r="F134" s="254"/>
      <c r="G134" s="253" t="s">
        <v>206</v>
      </c>
      <c r="H134" s="255" t="str">
        <f>VLOOKUP(A134,'2. Status Detalhe Campos'!$A$7:$G$574,7,0)</f>
        <v>6. Em implementação (re-especificação)</v>
      </c>
      <c r="I134" s="229" t="s">
        <v>38</v>
      </c>
      <c r="J134" s="153">
        <v>45624</v>
      </c>
      <c r="K134" s="229"/>
      <c r="L134" s="280">
        <f t="array" ref="L134">MIN(IF(V134:CH134&gt;0,$V$16:$CH$16))</f>
        <v>45642</v>
      </c>
      <c r="M134" s="279">
        <f t="array" ref="M134">MAX(IF(V134:CH134&gt;0,$V$16:$CH$16))</f>
        <v>45642</v>
      </c>
      <c r="N134" s="277">
        <f>VLOOKUP(H134,Auxiliar!$B$16:$E$24,4,0)</f>
        <v>0</v>
      </c>
      <c r="O134" s="277">
        <f t="shared" ca="1" si="30"/>
        <v>0</v>
      </c>
      <c r="P134" s="276">
        <f t="shared" ca="1" si="18"/>
        <v>0</v>
      </c>
      <c r="Q134" s="276"/>
      <c r="R134" s="230"/>
      <c r="S134" s="224">
        <v>8.1</v>
      </c>
      <c r="T134" s="224">
        <f t="shared" si="22"/>
        <v>1</v>
      </c>
      <c r="U134" s="224">
        <f t="shared" si="31"/>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1"/>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hidden="1" outlineLevel="1" x14ac:dyDescent="0.4">
      <c r="A135" s="30" t="str">
        <f t="shared" si="21"/>
        <v>modesg_out_sfcs_taxon_europeianome_specific_sustainable</v>
      </c>
      <c r="B135" s="142" t="s">
        <v>26</v>
      </c>
      <c r="C135" s="138" t="s">
        <v>311</v>
      </c>
      <c r="D135" s="253" t="s">
        <v>40</v>
      </c>
      <c r="E135" s="254" t="s">
        <v>334</v>
      </c>
      <c r="F135" s="254"/>
      <c r="G135" s="253" t="s">
        <v>207</v>
      </c>
      <c r="H135" s="255" t="str">
        <f>VLOOKUP(A135,'2. Status Detalhe Campos'!$A$7:$G$574,7,0)</f>
        <v>6. Em implementação (re-especificação)</v>
      </c>
      <c r="I135" s="229" t="s">
        <v>38</v>
      </c>
      <c r="J135" s="153">
        <v>45624</v>
      </c>
      <c r="K135" s="229"/>
      <c r="L135" s="280">
        <f t="array" ref="L135">MIN(IF(V135:CH135&gt;0,$V$16:$CH$16))</f>
        <v>45643</v>
      </c>
      <c r="M135" s="279">
        <f t="array" ref="M135">MAX(IF(V135:CH135&gt;0,$V$16:$CH$16))</f>
        <v>45643</v>
      </c>
      <c r="N135" s="277">
        <f>VLOOKUP(H135,Auxiliar!$B$16:$E$24,4,0)</f>
        <v>0</v>
      </c>
      <c r="O135" s="277">
        <f t="shared" ca="1" si="30"/>
        <v>0</v>
      </c>
      <c r="P135" s="276">
        <f t="shared" ca="1" si="18"/>
        <v>0</v>
      </c>
      <c r="Q135" s="276"/>
      <c r="R135" s="230"/>
      <c r="S135" s="224">
        <v>8.1</v>
      </c>
      <c r="T135" s="224">
        <f t="shared" si="22"/>
        <v>1</v>
      </c>
      <c r="U135" s="224">
        <f t="shared" si="31"/>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1"/>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hidden="1" outlineLevel="1" x14ac:dyDescent="0.4">
      <c r="A136" s="30" t="str">
        <f t="shared" si="21"/>
        <v>modesg_out_sfcs_taxon_europeiaref_date</v>
      </c>
      <c r="B136" s="142" t="s">
        <v>26</v>
      </c>
      <c r="C136" s="138" t="s">
        <v>311</v>
      </c>
      <c r="D136" s="253" t="s">
        <v>40</v>
      </c>
      <c r="E136" s="254" t="s">
        <v>334</v>
      </c>
      <c r="F136" s="254"/>
      <c r="G136" s="253" t="s">
        <v>208</v>
      </c>
      <c r="H136" s="255" t="str">
        <f>VLOOKUP(A136,'2. Status Detalhe Campos'!$A$7:$G$574,7,0)</f>
        <v>6. Em implementação (re-especificação)</v>
      </c>
      <c r="I136" s="229" t="s">
        <v>38</v>
      </c>
      <c r="J136" s="153">
        <v>45624</v>
      </c>
      <c r="K136" s="229"/>
      <c r="L136" s="280">
        <f t="array" ref="L136">MIN(IF(V136:CH136&gt;0,$V$16:$CH$16))</f>
        <v>45644</v>
      </c>
      <c r="M136" s="279">
        <f t="array" ref="M136">MAX(IF(V136:CH136&gt;0,$V$16:$CH$16))</f>
        <v>45644</v>
      </c>
      <c r="N136" s="277">
        <f>VLOOKUP(H136,Auxiliar!$B$16:$E$24,4,0)</f>
        <v>0</v>
      </c>
      <c r="O136" s="277">
        <f t="shared" ca="1" si="30"/>
        <v>0</v>
      </c>
      <c r="P136" s="276">
        <f t="shared" ca="1" si="18"/>
        <v>0</v>
      </c>
      <c r="Q136" s="276"/>
      <c r="R136" s="230"/>
      <c r="S136" s="224">
        <v>4.0999999999999996</v>
      </c>
      <c r="T136" s="224">
        <f t="shared" si="22"/>
        <v>0.5</v>
      </c>
      <c r="U136" s="224">
        <f t="shared" si="31"/>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1"/>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hidden="1" outlineLevel="1" x14ac:dyDescent="0.4">
      <c r="A137" s="30" t="str">
        <f t="shared" si="21"/>
        <v>modesg_out_sfcs_taxon_europeiazdeposit</v>
      </c>
      <c r="B137" s="142" t="s">
        <v>26</v>
      </c>
      <c r="C137" s="138" t="s">
        <v>311</v>
      </c>
      <c r="D137" s="253" t="s">
        <v>40</v>
      </c>
      <c r="E137" s="254" t="s">
        <v>334</v>
      </c>
      <c r="F137" s="254"/>
      <c r="G137" s="253" t="s">
        <v>210</v>
      </c>
      <c r="H137" s="255" t="str">
        <f>VLOOKUP(A137,'2. Status Detalhe Campos'!$A$7:$G$574,7,0)</f>
        <v>6. Em implementação (re-especificação)</v>
      </c>
      <c r="I137" s="229" t="s">
        <v>38</v>
      </c>
      <c r="J137" s="153">
        <v>45624</v>
      </c>
      <c r="K137" s="229"/>
      <c r="L137" s="280">
        <f t="array" ref="L137">MIN(IF(V137:CH137&gt;0,$V$16:$CH$16))</f>
        <v>45644</v>
      </c>
      <c r="M137" s="279">
        <f t="array" ref="M137">MAX(IF(V137:CH137&gt;0,$V$16:$CH$16))</f>
        <v>45645</v>
      </c>
      <c r="N137" s="277">
        <f>VLOOKUP(H137,Auxiliar!$B$16:$E$24,4,0)</f>
        <v>0</v>
      </c>
      <c r="O137" s="277">
        <f t="shared" ca="1" si="30"/>
        <v>0</v>
      </c>
      <c r="P137" s="276">
        <f t="shared" ca="1" si="18"/>
        <v>0</v>
      </c>
      <c r="Q137" s="276"/>
      <c r="R137" s="230"/>
      <c r="S137" s="224">
        <v>8.1</v>
      </c>
      <c r="T137" s="224">
        <f t="shared" si="22"/>
        <v>1</v>
      </c>
      <c r="U137" s="224">
        <f t="shared" si="31"/>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1"/>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ollapsed="1" x14ac:dyDescent="0.4">
      <c r="A138" s="30"/>
      <c r="B138" s="142" t="s">
        <v>26</v>
      </c>
      <c r="C138" s="138" t="s">
        <v>26</v>
      </c>
      <c r="D138" s="134"/>
      <c r="E138" s="263" t="s">
        <v>336</v>
      </c>
      <c r="F138" s="260" t="s">
        <v>1989</v>
      </c>
      <c r="G138" s="261">
        <f>COUNTA(G139:G160)</f>
        <v>22</v>
      </c>
      <c r="H138" s="136"/>
      <c r="I138" s="259">
        <f>MAX(I139:I160)</f>
        <v>45589</v>
      </c>
      <c r="J138" s="258">
        <f>MIN(J139:J160)</f>
        <v>45596</v>
      </c>
      <c r="K138" s="259">
        <f>MIN(K139:K160)</f>
        <v>45596</v>
      </c>
      <c r="L138" s="258">
        <f>MIN(L139:L160)</f>
        <v>45600</v>
      </c>
      <c r="M138" s="259">
        <f>MAX(M139:M160)</f>
        <v>45635</v>
      </c>
      <c r="N138" s="282">
        <f>SUMPRODUCT(N139:N160,T139:T160)/SUM(T139:T160)</f>
        <v>4.5454545454545456E-2</v>
      </c>
      <c r="O138" s="282">
        <f ca="1">SUMPRODUCT(O139:O160,T139:T160)/SUM(T139:T160)</f>
        <v>4.5454545454545456E-2</v>
      </c>
      <c r="P138" s="276">
        <f t="shared" ca="1" si="18"/>
        <v>0</v>
      </c>
      <c r="Q138" s="287" t="s">
        <v>38</v>
      </c>
      <c r="R138" s="230"/>
      <c r="S138" s="224"/>
      <c r="T138" s="224"/>
      <c r="U138" s="224"/>
      <c r="V138" s="79"/>
      <c r="W138" s="79"/>
      <c r="X138" s="79"/>
      <c r="Y138" s="79"/>
      <c r="Z138" s="79"/>
      <c r="AA138" s="79"/>
      <c r="AB138" s="227"/>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6"/>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hidden="1" outlineLevel="1" x14ac:dyDescent="0.4">
      <c r="A139" s="30" t="str">
        <f t="shared" si="21"/>
        <v>lt003_entitynace_esg</v>
      </c>
      <c r="B139" s="142" t="s">
        <v>26</v>
      </c>
      <c r="C139" s="138" t="s">
        <v>26</v>
      </c>
      <c r="D139" s="253" t="s">
        <v>40</v>
      </c>
      <c r="E139" s="257" t="s">
        <v>336</v>
      </c>
      <c r="F139" s="257"/>
      <c r="G139" s="257" t="s">
        <v>337</v>
      </c>
      <c r="H139" s="255" t="str">
        <f>VLOOKUP(A139,'2. Status Detalhe Campos'!$A$7:$G$574,7,0)</f>
        <v>3. Pendente de outros desenvolvimentos</v>
      </c>
      <c r="I139" s="229">
        <v>45583</v>
      </c>
      <c r="J139" s="235">
        <v>45596</v>
      </c>
      <c r="K139" s="153">
        <v>45596</v>
      </c>
      <c r="L139" s="280">
        <f t="array" ref="L139">MIN(IF(V139:CH139&gt;0,$V$16:$CH$16))</f>
        <v>45623</v>
      </c>
      <c r="M139" s="279">
        <f t="array" ref="M139">MAX(IF(V139:CH139&gt;0,$V$16:$CH$16))</f>
        <v>45623</v>
      </c>
      <c r="N139" s="277">
        <f>VLOOKUP(H139,Auxiliar!$B$16:$E$24,4,0)</f>
        <v>0</v>
      </c>
      <c r="O139" s="277">
        <f t="shared" ref="O139:O160" ca="1" si="32">IF(TODAY()&lt;=L139,0,MIN((TODAY()-L139)/(M139-L139+1),100%))</f>
        <v>0</v>
      </c>
      <c r="P139" s="276">
        <f t="shared" ca="1" si="18"/>
        <v>0</v>
      </c>
      <c r="Q139" s="276"/>
      <c r="R139" s="230"/>
      <c r="S139" s="224">
        <v>4.0999999999999996</v>
      </c>
      <c r="T139" s="224">
        <f t="shared" si="22"/>
        <v>0.5</v>
      </c>
      <c r="U139" s="224">
        <f t="shared" ref="U139:U160" si="33">SUM(V139:CH139)-T139</f>
        <v>0</v>
      </c>
      <c r="V139" s="79"/>
      <c r="W139" s="79"/>
      <c r="X139" s="79"/>
      <c r="Y139" s="79"/>
      <c r="Z139" s="79"/>
      <c r="AA139" s="79"/>
      <c r="AB139" s="227"/>
      <c r="AC139" s="92"/>
      <c r="AD139" s="79"/>
      <c r="AE139" s="79"/>
      <c r="AF139" s="79"/>
      <c r="AG139" s="79"/>
      <c r="AH139" s="79"/>
      <c r="AI139" s="79"/>
      <c r="AJ139" s="79"/>
      <c r="AK139" s="79"/>
      <c r="AL139" s="79"/>
      <c r="AM139" s="79"/>
      <c r="AN139" s="231"/>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hidden="1" outlineLevel="1" x14ac:dyDescent="0.4">
      <c r="A140" s="30" t="str">
        <f t="shared" si="21"/>
        <v>lt003_entitytxnmy_elgbl_capex_ccm</v>
      </c>
      <c r="B140" s="142" t="s">
        <v>26</v>
      </c>
      <c r="C140" s="138" t="s">
        <v>26</v>
      </c>
      <c r="D140" s="253" t="s">
        <v>40</v>
      </c>
      <c r="E140" s="257" t="s">
        <v>336</v>
      </c>
      <c r="F140" s="257"/>
      <c r="G140" s="257" t="s">
        <v>339</v>
      </c>
      <c r="H140" s="255" t="str">
        <f>VLOOKUP(A140,'2. Status Detalhe Campos'!$A$7:$G$574,7,0)</f>
        <v>3. Pendente de outros desenvolvimentos</v>
      </c>
      <c r="I140" s="229" t="s">
        <v>38</v>
      </c>
      <c r="J140" s="153">
        <v>45614</v>
      </c>
      <c r="K140" s="153">
        <v>45596</v>
      </c>
      <c r="L140" s="280">
        <f t="array" ref="L140">MIN(IF(V140:CH140&gt;0,$V$16:$CH$16))</f>
        <v>45615</v>
      </c>
      <c r="M140" s="279">
        <f t="array" ref="M140">MAX(IF(V140:CH140&gt;0,$V$16:$CH$16))</f>
        <v>45615</v>
      </c>
      <c r="N140" s="277">
        <f>VLOOKUP(H140,Auxiliar!$B$16:$E$24,4,0)</f>
        <v>0</v>
      </c>
      <c r="O140" s="277">
        <f t="shared" ca="1" si="32"/>
        <v>0</v>
      </c>
      <c r="P140" s="276">
        <f t="shared" ca="1" si="18"/>
        <v>0</v>
      </c>
      <c r="Q140" s="276"/>
      <c r="R140" s="230"/>
      <c r="S140" s="224">
        <v>4.0999999999999996</v>
      </c>
      <c r="T140" s="224">
        <f t="shared" si="22"/>
        <v>0.5</v>
      </c>
      <c r="U140" s="224">
        <f t="shared" si="33"/>
        <v>0</v>
      </c>
      <c r="V140" s="79"/>
      <c r="W140" s="79"/>
      <c r="X140" s="79"/>
      <c r="Y140" s="79"/>
      <c r="Z140" s="79"/>
      <c r="AA140" s="79"/>
      <c r="AB140" s="227"/>
      <c r="AC140" s="92"/>
      <c r="AD140" s="79"/>
      <c r="AE140" s="79"/>
      <c r="AF140" s="79"/>
      <c r="AG140" s="79"/>
      <c r="AH140" s="79"/>
      <c r="AI140" s="79"/>
      <c r="AJ140" s="79"/>
      <c r="AK140" s="79"/>
      <c r="AL140" s="79"/>
      <c r="AM140" s="79"/>
      <c r="AN140" s="231"/>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hidden="1" outlineLevel="1" x14ac:dyDescent="0.4">
      <c r="A141" s="30" t="str">
        <f t="shared" si="21"/>
        <v>lt003_entitytxnmy_elgbl_trnvr_ccm</v>
      </c>
      <c r="B141" s="142" t="s">
        <v>26</v>
      </c>
      <c r="C141" s="138" t="s">
        <v>26</v>
      </c>
      <c r="D141" s="253" t="s">
        <v>40</v>
      </c>
      <c r="E141" s="257" t="s">
        <v>336</v>
      </c>
      <c r="F141" s="257"/>
      <c r="G141" s="257" t="s">
        <v>340</v>
      </c>
      <c r="H141" s="255" t="str">
        <f>VLOOKUP(A141,'2. Status Detalhe Campos'!$A$7:$G$574,7,0)</f>
        <v>3. Pendente de outros desenvolvimentos</v>
      </c>
      <c r="I141" s="229" t="s">
        <v>38</v>
      </c>
      <c r="J141" s="153">
        <v>45614</v>
      </c>
      <c r="K141" s="153">
        <v>45596</v>
      </c>
      <c r="L141" s="280">
        <f t="array" ref="L141">MIN(IF(V141:CH141&gt;0,$V$16:$CH$16))</f>
        <v>45615</v>
      </c>
      <c r="M141" s="279">
        <f t="array" ref="M141">MAX(IF(V141:CH141&gt;0,$V$16:$CH$16))</f>
        <v>45615</v>
      </c>
      <c r="N141" s="277">
        <f>VLOOKUP(H141,Auxiliar!$B$16:$E$24,4,0)</f>
        <v>0</v>
      </c>
      <c r="O141" s="277">
        <f t="shared" ca="1" si="32"/>
        <v>0</v>
      </c>
      <c r="P141" s="276">
        <f t="shared" ca="1" si="18"/>
        <v>0</v>
      </c>
      <c r="Q141" s="276"/>
      <c r="R141" s="230"/>
      <c r="S141" s="224">
        <v>4.0999999999999996</v>
      </c>
      <c r="T141" s="224">
        <f t="shared" si="22"/>
        <v>0.5</v>
      </c>
      <c r="U141" s="224">
        <f t="shared" si="33"/>
        <v>0</v>
      </c>
      <c r="V141" s="79"/>
      <c r="W141" s="79"/>
      <c r="X141" s="79"/>
      <c r="Y141" s="79"/>
      <c r="Z141" s="79"/>
      <c r="AA141" s="79"/>
      <c r="AB141" s="227"/>
      <c r="AC141" s="92"/>
      <c r="AD141" s="79"/>
      <c r="AE141" s="79"/>
      <c r="AF141" s="79"/>
      <c r="AG141" s="79"/>
      <c r="AH141" s="79"/>
      <c r="AI141" s="79"/>
      <c r="AJ141" s="79"/>
      <c r="AK141" s="79"/>
      <c r="AL141" s="79"/>
      <c r="AM141" s="79"/>
      <c r="AN141" s="231"/>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hidden="1" outlineLevel="1" x14ac:dyDescent="0.4">
      <c r="A142" s="30" t="str">
        <f t="shared" si="21"/>
        <v>lt003_entitytxnmy_elgbl_capex_cca</v>
      </c>
      <c r="B142" s="142" t="s">
        <v>26</v>
      </c>
      <c r="C142" s="138" t="s">
        <v>26</v>
      </c>
      <c r="D142" s="253" t="s">
        <v>40</v>
      </c>
      <c r="E142" s="257" t="s">
        <v>336</v>
      </c>
      <c r="F142" s="257"/>
      <c r="G142" s="257" t="s">
        <v>341</v>
      </c>
      <c r="H142" s="255" t="str">
        <f>VLOOKUP(A142,'2. Status Detalhe Campos'!$A$7:$G$574,7,0)</f>
        <v>3. Pendente de outros desenvolvimentos</v>
      </c>
      <c r="I142" s="229" t="s">
        <v>38</v>
      </c>
      <c r="J142" s="153">
        <v>45614</v>
      </c>
      <c r="K142" s="153">
        <v>45596</v>
      </c>
      <c r="L142" s="280">
        <f t="array" ref="L142">MIN(IF(V142:CH142&gt;0,$V$16:$CH$16))</f>
        <v>45616</v>
      </c>
      <c r="M142" s="279">
        <f t="array" ref="M142">MAX(IF(V142:CH142&gt;0,$V$16:$CH$16))</f>
        <v>45616</v>
      </c>
      <c r="N142" s="277">
        <f>VLOOKUP(H142,Auxiliar!$B$16:$E$24,4,0)</f>
        <v>0</v>
      </c>
      <c r="O142" s="277">
        <f t="shared" ca="1" si="32"/>
        <v>0</v>
      </c>
      <c r="P142" s="276">
        <f t="shared" ca="1" si="18"/>
        <v>0</v>
      </c>
      <c r="Q142" s="276"/>
      <c r="R142" s="230"/>
      <c r="S142" s="224">
        <v>4.0999999999999996</v>
      </c>
      <c r="T142" s="224">
        <f t="shared" si="22"/>
        <v>0.5</v>
      </c>
      <c r="U142" s="224">
        <f t="shared" si="33"/>
        <v>0</v>
      </c>
      <c r="V142" s="79"/>
      <c r="W142" s="79"/>
      <c r="X142" s="79"/>
      <c r="Y142" s="79"/>
      <c r="Z142" s="79"/>
      <c r="AA142" s="79"/>
      <c r="AB142" s="227"/>
      <c r="AC142" s="92"/>
      <c r="AD142" s="79"/>
      <c r="AE142" s="79"/>
      <c r="AF142" s="79"/>
      <c r="AG142" s="79"/>
      <c r="AH142" s="79"/>
      <c r="AI142" s="79"/>
      <c r="AJ142" s="79"/>
      <c r="AK142" s="79"/>
      <c r="AL142" s="79"/>
      <c r="AM142" s="79"/>
      <c r="AN142" s="231"/>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hidden="1" outlineLevel="1" x14ac:dyDescent="0.4">
      <c r="A143" s="30" t="str">
        <f t="shared" si="21"/>
        <v>lt003_entitytxnmy_elgbl_trnvr_cca</v>
      </c>
      <c r="B143" s="142" t="s">
        <v>26</v>
      </c>
      <c r="C143" s="138" t="s">
        <v>26</v>
      </c>
      <c r="D143" s="253" t="s">
        <v>40</v>
      </c>
      <c r="E143" s="257" t="s">
        <v>336</v>
      </c>
      <c r="F143" s="257"/>
      <c r="G143" s="257" t="s">
        <v>342</v>
      </c>
      <c r="H143" s="255" t="str">
        <f>VLOOKUP(A143,'2. Status Detalhe Campos'!$A$7:$G$574,7,0)</f>
        <v>3. Pendente de outros desenvolvimentos</v>
      </c>
      <c r="I143" s="229" t="s">
        <v>38</v>
      </c>
      <c r="J143" s="153">
        <v>45614</v>
      </c>
      <c r="K143" s="153">
        <v>45596</v>
      </c>
      <c r="L143" s="280">
        <f t="array" ref="L143">MIN(IF(V143:CH143&gt;0,$V$16:$CH$16))</f>
        <v>45616</v>
      </c>
      <c r="M143" s="279">
        <f t="array" ref="M143">MAX(IF(V143:CH143&gt;0,$V$16:$CH$16))</f>
        <v>45616</v>
      </c>
      <c r="N143" s="277">
        <f>VLOOKUP(H143,Auxiliar!$B$16:$E$24,4,0)</f>
        <v>0</v>
      </c>
      <c r="O143" s="277">
        <f t="shared" ca="1" si="32"/>
        <v>0</v>
      </c>
      <c r="P143" s="276">
        <f t="shared" ca="1" si="18"/>
        <v>0</v>
      </c>
      <c r="Q143" s="276"/>
      <c r="R143" s="230"/>
      <c r="S143" s="224">
        <v>4.0999999999999996</v>
      </c>
      <c r="T143" s="224">
        <f t="shared" si="22"/>
        <v>0.5</v>
      </c>
      <c r="U143" s="224">
        <f t="shared" si="33"/>
        <v>0</v>
      </c>
      <c r="V143" s="79"/>
      <c r="W143" s="79"/>
      <c r="X143" s="79"/>
      <c r="Y143" s="79"/>
      <c r="Z143" s="79"/>
      <c r="AA143" s="79"/>
      <c r="AB143" s="227"/>
      <c r="AC143" s="92"/>
      <c r="AD143" s="79"/>
      <c r="AE143" s="79"/>
      <c r="AF143" s="79"/>
      <c r="AG143" s="79"/>
      <c r="AH143" s="79"/>
      <c r="AI143" s="79"/>
      <c r="AJ143" s="79"/>
      <c r="AK143" s="79"/>
      <c r="AL143" s="79"/>
      <c r="AM143" s="79"/>
      <c r="AN143" s="231"/>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hidden="1" outlineLevel="1" x14ac:dyDescent="0.4">
      <c r="A144" s="30" t="str">
        <f t="shared" si="21"/>
        <v>lt003_entityenblng_capex_ccm</v>
      </c>
      <c r="B144" s="142" t="s">
        <v>26</v>
      </c>
      <c r="C144" s="138" t="s">
        <v>26</v>
      </c>
      <c r="D144" s="253" t="s">
        <v>40</v>
      </c>
      <c r="E144" s="257" t="s">
        <v>336</v>
      </c>
      <c r="F144" s="257"/>
      <c r="G144" s="257" t="s">
        <v>343</v>
      </c>
      <c r="H144" s="255" t="str">
        <f>VLOOKUP(A144,'2. Status Detalhe Campos'!$A$7:$G$574,7,0)</f>
        <v>3. Pendente de outros desenvolvimentos</v>
      </c>
      <c r="I144" s="229" t="s">
        <v>38</v>
      </c>
      <c r="J144" s="153">
        <v>45614</v>
      </c>
      <c r="K144" s="153">
        <v>45596</v>
      </c>
      <c r="L144" s="280">
        <f t="array" ref="L144">MIN(IF(V144:CH144&gt;0,$V$16:$CH$16))</f>
        <v>45617</v>
      </c>
      <c r="M144" s="279">
        <f t="array" ref="M144">MAX(IF(V144:CH144&gt;0,$V$16:$CH$16))</f>
        <v>45617</v>
      </c>
      <c r="N144" s="277">
        <f>VLOOKUP(H144,Auxiliar!$B$16:$E$24,4,0)</f>
        <v>0</v>
      </c>
      <c r="O144" s="277">
        <f t="shared" ca="1" si="32"/>
        <v>0</v>
      </c>
      <c r="P144" s="276">
        <f t="shared" ca="1" si="18"/>
        <v>0</v>
      </c>
      <c r="Q144" s="276"/>
      <c r="R144" s="230"/>
      <c r="S144" s="224">
        <v>4.0999999999999996</v>
      </c>
      <c r="T144" s="224">
        <f t="shared" si="22"/>
        <v>0.5</v>
      </c>
      <c r="U144" s="224">
        <f t="shared" si="33"/>
        <v>0</v>
      </c>
      <c r="V144" s="79"/>
      <c r="W144" s="79"/>
      <c r="X144" s="79"/>
      <c r="Y144" s="79"/>
      <c r="Z144" s="79"/>
      <c r="AA144" s="79"/>
      <c r="AB144" s="227"/>
      <c r="AC144" s="92"/>
      <c r="AD144" s="79"/>
      <c r="AE144" s="79"/>
      <c r="AF144" s="79"/>
      <c r="AG144" s="79"/>
      <c r="AH144" s="79"/>
      <c r="AI144" s="79"/>
      <c r="AJ144" s="79"/>
      <c r="AK144" s="79"/>
      <c r="AL144" s="79"/>
      <c r="AM144" s="79"/>
      <c r="AN144" s="231"/>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hidden="1" outlineLevel="1" x14ac:dyDescent="0.4">
      <c r="A145" s="30" t="str">
        <f t="shared" si="21"/>
        <v>lt003_entityenblng_capex_cca</v>
      </c>
      <c r="B145" s="142" t="s">
        <v>26</v>
      </c>
      <c r="C145" s="138" t="s">
        <v>26</v>
      </c>
      <c r="D145" s="253" t="s">
        <v>40</v>
      </c>
      <c r="E145" s="257" t="s">
        <v>336</v>
      </c>
      <c r="F145" s="257"/>
      <c r="G145" s="257" t="s">
        <v>344</v>
      </c>
      <c r="H145" s="255" t="str">
        <f>VLOOKUP(A145,'2. Status Detalhe Campos'!$A$7:$G$574,7,0)</f>
        <v>3. Pendente de outros desenvolvimentos</v>
      </c>
      <c r="I145" s="229" t="s">
        <v>38</v>
      </c>
      <c r="J145" s="153">
        <v>45614</v>
      </c>
      <c r="K145" s="153">
        <v>45596</v>
      </c>
      <c r="L145" s="280">
        <f t="array" ref="L145">MIN(IF(V145:CH145&gt;0,$V$16:$CH$16))</f>
        <v>45617</v>
      </c>
      <c r="M145" s="279">
        <f t="array" ref="M145">MAX(IF(V145:CH145&gt;0,$V$16:$CH$16))</f>
        <v>45617</v>
      </c>
      <c r="N145" s="277">
        <f>VLOOKUP(H145,Auxiliar!$B$16:$E$24,4,0)</f>
        <v>0</v>
      </c>
      <c r="O145" s="277">
        <f t="shared" ca="1" si="32"/>
        <v>0</v>
      </c>
      <c r="P145" s="276">
        <f t="shared" ca="1" si="18"/>
        <v>0</v>
      </c>
      <c r="Q145" s="276"/>
      <c r="R145" s="230"/>
      <c r="S145" s="224">
        <v>4.0999999999999996</v>
      </c>
      <c r="T145" s="224">
        <f t="shared" si="22"/>
        <v>0.5</v>
      </c>
      <c r="U145" s="224">
        <f t="shared" si="33"/>
        <v>0</v>
      </c>
      <c r="V145" s="79"/>
      <c r="W145" s="79"/>
      <c r="X145" s="79"/>
      <c r="Y145" s="79"/>
      <c r="Z145" s="79"/>
      <c r="AA145" s="79"/>
      <c r="AB145" s="227"/>
      <c r="AC145" s="92"/>
      <c r="AD145" s="79"/>
      <c r="AE145" s="79"/>
      <c r="AF145" s="79"/>
      <c r="AG145" s="79"/>
      <c r="AH145" s="79"/>
      <c r="AI145" s="79"/>
      <c r="AJ145" s="79"/>
      <c r="AK145" s="79"/>
      <c r="AL145" s="79"/>
      <c r="AM145" s="79"/>
      <c r="AN145" s="231"/>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hidden="1" outlineLevel="1" x14ac:dyDescent="0.4">
      <c r="A146" s="30" t="str">
        <f t="shared" si="21"/>
        <v>lt003_entitytrnstnl_capex</v>
      </c>
      <c r="B146" s="142" t="s">
        <v>26</v>
      </c>
      <c r="C146" s="138" t="s">
        <v>26</v>
      </c>
      <c r="D146" s="253" t="s">
        <v>40</v>
      </c>
      <c r="E146" s="257" t="s">
        <v>336</v>
      </c>
      <c r="F146" s="257"/>
      <c r="G146" s="257" t="s">
        <v>345</v>
      </c>
      <c r="H146" s="255" t="str">
        <f>VLOOKUP(A146,'2. Status Detalhe Campos'!$A$7:$G$574,7,0)</f>
        <v>3. Pendente de outros desenvolvimentos</v>
      </c>
      <c r="I146" s="229" t="s">
        <v>38</v>
      </c>
      <c r="J146" s="153">
        <v>45614</v>
      </c>
      <c r="K146" s="153">
        <v>45596</v>
      </c>
      <c r="L146" s="280">
        <f t="array" ref="L146">MIN(IF(V146:CH146&gt;0,$V$16:$CH$16))</f>
        <v>45618</v>
      </c>
      <c r="M146" s="279">
        <f t="array" ref="M146">MAX(IF(V146:CH146&gt;0,$V$16:$CH$16))</f>
        <v>45618</v>
      </c>
      <c r="N146" s="277">
        <f>VLOOKUP(H146,Auxiliar!$B$16:$E$24,4,0)</f>
        <v>0</v>
      </c>
      <c r="O146" s="277">
        <f t="shared" ca="1" si="32"/>
        <v>0</v>
      </c>
      <c r="P146" s="276">
        <f t="shared" ref="P146:P209" ca="1" si="34">N146-O146</f>
        <v>0</v>
      </c>
      <c r="Q146" s="276"/>
      <c r="R146" s="230"/>
      <c r="S146" s="224">
        <v>4.0999999999999996</v>
      </c>
      <c r="T146" s="224">
        <f t="shared" si="22"/>
        <v>0.5</v>
      </c>
      <c r="U146" s="224">
        <f t="shared" si="33"/>
        <v>0</v>
      </c>
      <c r="V146" s="79"/>
      <c r="W146" s="79"/>
      <c r="X146" s="79"/>
      <c r="Y146" s="79"/>
      <c r="Z146" s="79"/>
      <c r="AA146" s="79"/>
      <c r="AB146" s="227"/>
      <c r="AC146" s="92"/>
      <c r="AD146" s="79"/>
      <c r="AE146" s="79"/>
      <c r="AF146" s="79"/>
      <c r="AG146" s="79"/>
      <c r="AH146" s="79"/>
      <c r="AI146" s="79"/>
      <c r="AJ146" s="79"/>
      <c r="AK146" s="79"/>
      <c r="AL146" s="79"/>
      <c r="AM146" s="79"/>
      <c r="AN146" s="231"/>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hidden="1" outlineLevel="1" x14ac:dyDescent="0.4">
      <c r="A147" s="30" t="str">
        <f t="shared" si="21"/>
        <v>lt003_entitypure_capex_ccm</v>
      </c>
      <c r="B147" s="142" t="s">
        <v>26</v>
      </c>
      <c r="C147" s="138" t="s">
        <v>26</v>
      </c>
      <c r="D147" s="253" t="s">
        <v>40</v>
      </c>
      <c r="E147" s="257" t="s">
        <v>336</v>
      </c>
      <c r="F147" s="257"/>
      <c r="G147" s="257" t="s">
        <v>346</v>
      </c>
      <c r="H147" s="255" t="str">
        <f>VLOOKUP(A147,'2. Status Detalhe Campos'!$A$7:$G$574,7,0)</f>
        <v>3. Pendente de outros desenvolvimentos</v>
      </c>
      <c r="I147" s="229" t="s">
        <v>38</v>
      </c>
      <c r="J147" s="153">
        <v>45614</v>
      </c>
      <c r="K147" s="153">
        <v>45596</v>
      </c>
      <c r="L147" s="280">
        <f t="array" ref="L147">MIN(IF(V147:CH147&gt;0,$V$16:$CH$16))</f>
        <v>45618</v>
      </c>
      <c r="M147" s="279">
        <f t="array" ref="M147">MAX(IF(V147:CH147&gt;0,$V$16:$CH$16))</f>
        <v>45618</v>
      </c>
      <c r="N147" s="277">
        <f>VLOOKUP(H147,Auxiliar!$B$16:$E$24,4,0)</f>
        <v>0</v>
      </c>
      <c r="O147" s="277">
        <f t="shared" ca="1" si="32"/>
        <v>0</v>
      </c>
      <c r="P147" s="276">
        <f t="shared" ca="1" si="34"/>
        <v>0</v>
      </c>
      <c r="Q147" s="276"/>
      <c r="R147" s="230"/>
      <c r="S147" s="224">
        <v>4.0999999999999996</v>
      </c>
      <c r="T147" s="224">
        <f t="shared" si="22"/>
        <v>0.5</v>
      </c>
      <c r="U147" s="224">
        <f t="shared" si="33"/>
        <v>0</v>
      </c>
      <c r="V147" s="79"/>
      <c r="W147" s="79"/>
      <c r="X147" s="79"/>
      <c r="Y147" s="79"/>
      <c r="Z147" s="79"/>
      <c r="AA147" s="79"/>
      <c r="AB147" s="227"/>
      <c r="AC147" s="92"/>
      <c r="AD147" s="79"/>
      <c r="AE147" s="79"/>
      <c r="AF147" s="79"/>
      <c r="AG147" s="79"/>
      <c r="AH147" s="79"/>
      <c r="AI147" s="79"/>
      <c r="AJ147" s="79"/>
      <c r="AK147" s="79"/>
      <c r="AL147" s="79"/>
      <c r="AM147" s="79"/>
      <c r="AN147" s="231"/>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hidden="1" outlineLevel="1" x14ac:dyDescent="0.4">
      <c r="A148" s="30" t="str">
        <f t="shared" si="21"/>
        <v>lt003_entityenblng_trnvr_ccm</v>
      </c>
      <c r="B148" s="142" t="s">
        <v>26</v>
      </c>
      <c r="C148" s="138" t="s">
        <v>26</v>
      </c>
      <c r="D148" s="253" t="s">
        <v>40</v>
      </c>
      <c r="E148" s="257" t="s">
        <v>336</v>
      </c>
      <c r="F148" s="257"/>
      <c r="G148" s="257" t="s">
        <v>348</v>
      </c>
      <c r="H148" s="255" t="str">
        <f>VLOOKUP(A148,'2. Status Detalhe Campos'!$A$7:$G$574,7,0)</f>
        <v>3. Pendente de outros desenvolvimentos</v>
      </c>
      <c r="I148" s="229" t="s">
        <v>38</v>
      </c>
      <c r="J148" s="153">
        <v>45614</v>
      </c>
      <c r="K148" s="153">
        <v>45596</v>
      </c>
      <c r="L148" s="280">
        <f t="array" ref="L148">MIN(IF(V148:CH148&gt;0,$V$16:$CH$16))</f>
        <v>45621</v>
      </c>
      <c r="M148" s="279">
        <f t="array" ref="M148">MAX(IF(V148:CH148&gt;0,$V$16:$CH$16))</f>
        <v>45621</v>
      </c>
      <c r="N148" s="277">
        <f>VLOOKUP(H148,Auxiliar!$B$16:$E$24,4,0)</f>
        <v>0</v>
      </c>
      <c r="O148" s="277">
        <f t="shared" ca="1" si="32"/>
        <v>0</v>
      </c>
      <c r="P148" s="276">
        <f t="shared" ca="1" si="34"/>
        <v>0</v>
      </c>
      <c r="Q148" s="276"/>
      <c r="R148" s="230"/>
      <c r="S148" s="224">
        <v>4.0999999999999996</v>
      </c>
      <c r="T148" s="224">
        <f t="shared" si="22"/>
        <v>0.5</v>
      </c>
      <c r="U148" s="224">
        <f t="shared" si="33"/>
        <v>0</v>
      </c>
      <c r="V148" s="79"/>
      <c r="W148" s="79"/>
      <c r="X148" s="79"/>
      <c r="Y148" s="79"/>
      <c r="Z148" s="79"/>
      <c r="AA148" s="79"/>
      <c r="AB148" s="227"/>
      <c r="AC148" s="92"/>
      <c r="AD148" s="79"/>
      <c r="AE148" s="79"/>
      <c r="AF148" s="79"/>
      <c r="AG148" s="79"/>
      <c r="AH148" s="79"/>
      <c r="AI148" s="79"/>
      <c r="AJ148" s="79"/>
      <c r="AK148" s="79"/>
      <c r="AL148" s="79"/>
      <c r="AM148" s="79"/>
      <c r="AN148" s="231"/>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hidden="1" outlineLevel="1" x14ac:dyDescent="0.4">
      <c r="A149" s="30" t="str">
        <f t="shared" si="21"/>
        <v>lt003_entityenblng_trnvr_cca</v>
      </c>
      <c r="B149" s="142" t="s">
        <v>26</v>
      </c>
      <c r="C149" s="138" t="s">
        <v>26</v>
      </c>
      <c r="D149" s="253" t="s">
        <v>40</v>
      </c>
      <c r="E149" s="257" t="s">
        <v>336</v>
      </c>
      <c r="F149" s="257"/>
      <c r="G149" s="257" t="s">
        <v>349</v>
      </c>
      <c r="H149" s="255" t="str">
        <f>VLOOKUP(A149,'2. Status Detalhe Campos'!$A$7:$G$574,7,0)</f>
        <v>3. Pendente de outros desenvolvimentos</v>
      </c>
      <c r="I149" s="229" t="s">
        <v>38</v>
      </c>
      <c r="J149" s="153">
        <v>45614</v>
      </c>
      <c r="K149" s="153">
        <v>45596</v>
      </c>
      <c r="L149" s="280">
        <f t="array" ref="L149">MIN(IF(V149:CH149&gt;0,$V$16:$CH$16))</f>
        <v>45621</v>
      </c>
      <c r="M149" s="279">
        <f t="array" ref="M149">MAX(IF(V149:CH149&gt;0,$V$16:$CH$16))</f>
        <v>45621</v>
      </c>
      <c r="N149" s="277">
        <f>VLOOKUP(H149,Auxiliar!$B$16:$E$24,4,0)</f>
        <v>0</v>
      </c>
      <c r="O149" s="277">
        <f t="shared" ca="1" si="32"/>
        <v>0</v>
      </c>
      <c r="P149" s="276">
        <f t="shared" ca="1" si="34"/>
        <v>0</v>
      </c>
      <c r="Q149" s="276"/>
      <c r="R149" s="230"/>
      <c r="S149" s="224">
        <v>4.0999999999999996</v>
      </c>
      <c r="T149" s="224">
        <f t="shared" si="22"/>
        <v>0.5</v>
      </c>
      <c r="U149" s="224">
        <f t="shared" si="33"/>
        <v>0</v>
      </c>
      <c r="V149" s="79"/>
      <c r="W149" s="79"/>
      <c r="X149" s="79"/>
      <c r="Y149" s="79"/>
      <c r="Z149" s="79"/>
      <c r="AA149" s="79"/>
      <c r="AB149" s="227"/>
      <c r="AC149" s="92"/>
      <c r="AD149" s="79"/>
      <c r="AE149" s="79"/>
      <c r="AF149" s="79"/>
      <c r="AG149" s="79"/>
      <c r="AH149" s="79"/>
      <c r="AI149" s="79"/>
      <c r="AJ149" s="79"/>
      <c r="AK149" s="79"/>
      <c r="AL149" s="79"/>
      <c r="AM149" s="79"/>
      <c r="AN149" s="231"/>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hidden="1" outlineLevel="1" x14ac:dyDescent="0.4">
      <c r="A150" s="30" t="str">
        <f t="shared" si="21"/>
        <v>lt003_entitytrnstnl_trnvr</v>
      </c>
      <c r="B150" s="142" t="s">
        <v>26</v>
      </c>
      <c r="C150" s="138" t="s">
        <v>26</v>
      </c>
      <c r="D150" s="253" t="s">
        <v>40</v>
      </c>
      <c r="E150" s="257" t="s">
        <v>336</v>
      </c>
      <c r="F150" s="257"/>
      <c r="G150" s="257" t="s">
        <v>350</v>
      </c>
      <c r="H150" s="255" t="str">
        <f>VLOOKUP(A150,'2. Status Detalhe Campos'!$A$7:$G$574,7,0)</f>
        <v>3. Pendente de outros desenvolvimentos</v>
      </c>
      <c r="I150" s="229" t="s">
        <v>38</v>
      </c>
      <c r="J150" s="153">
        <v>45614</v>
      </c>
      <c r="K150" s="153">
        <v>45596</v>
      </c>
      <c r="L150" s="280">
        <f t="array" ref="L150">MIN(IF(V150:CH150&gt;0,$V$16:$CH$16))</f>
        <v>45622</v>
      </c>
      <c r="M150" s="279">
        <f t="array" ref="M150">MAX(IF(V150:CH150&gt;0,$V$16:$CH$16))</f>
        <v>45622</v>
      </c>
      <c r="N150" s="277">
        <f>VLOOKUP(H150,Auxiliar!$B$16:$E$24,4,0)</f>
        <v>0</v>
      </c>
      <c r="O150" s="277">
        <f t="shared" ca="1" si="32"/>
        <v>0</v>
      </c>
      <c r="P150" s="276">
        <f t="shared" ca="1" si="34"/>
        <v>0</v>
      </c>
      <c r="Q150" s="276"/>
      <c r="R150" s="230"/>
      <c r="S150" s="224">
        <v>4.0999999999999996</v>
      </c>
      <c r="T150" s="224">
        <f t="shared" si="22"/>
        <v>0.5</v>
      </c>
      <c r="U150" s="224">
        <f t="shared" si="33"/>
        <v>0</v>
      </c>
      <c r="V150" s="79"/>
      <c r="W150" s="79"/>
      <c r="X150" s="79"/>
      <c r="Y150" s="79"/>
      <c r="Z150" s="79"/>
      <c r="AA150" s="79"/>
      <c r="AB150" s="227"/>
      <c r="AC150" s="92"/>
      <c r="AD150" s="79"/>
      <c r="AE150" s="79"/>
      <c r="AF150" s="79"/>
      <c r="AG150" s="79"/>
      <c r="AH150" s="79"/>
      <c r="AI150" s="79"/>
      <c r="AJ150" s="79"/>
      <c r="AK150" s="79"/>
      <c r="AL150" s="79"/>
      <c r="AM150" s="79"/>
      <c r="AN150" s="231"/>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hidden="1" outlineLevel="1" x14ac:dyDescent="0.4">
      <c r="A151" s="30" t="str">
        <f t="shared" si="21"/>
        <v>lt003_entitypure_trnvr_ccm</v>
      </c>
      <c r="B151" s="142" t="s">
        <v>26</v>
      </c>
      <c r="C151" s="138" t="s">
        <v>26</v>
      </c>
      <c r="D151" s="253" t="s">
        <v>40</v>
      </c>
      <c r="E151" s="257" t="s">
        <v>336</v>
      </c>
      <c r="F151" s="257"/>
      <c r="G151" s="257" t="s">
        <v>351</v>
      </c>
      <c r="H151" s="255" t="str">
        <f>VLOOKUP(A151,'2. Status Detalhe Campos'!$A$7:$G$574,7,0)</f>
        <v>3. Pendente de outros desenvolvimentos</v>
      </c>
      <c r="I151" s="229" t="s">
        <v>38</v>
      </c>
      <c r="J151" s="153">
        <v>45614</v>
      </c>
      <c r="K151" s="153">
        <v>45596</v>
      </c>
      <c r="L151" s="280">
        <f t="array" ref="L151">MIN(IF(V151:CH151&gt;0,$V$16:$CH$16))</f>
        <v>45622</v>
      </c>
      <c r="M151" s="279">
        <f t="array" ref="M151">MAX(IF(V151:CH151&gt;0,$V$16:$CH$16))</f>
        <v>45622</v>
      </c>
      <c r="N151" s="277">
        <f>VLOOKUP(H151,Auxiliar!$B$16:$E$24,4,0)</f>
        <v>0</v>
      </c>
      <c r="O151" s="277">
        <f t="shared" ca="1" si="32"/>
        <v>0</v>
      </c>
      <c r="P151" s="276">
        <f t="shared" ca="1" si="34"/>
        <v>0</v>
      </c>
      <c r="Q151" s="276"/>
      <c r="R151" s="230"/>
      <c r="S151" s="224">
        <v>4.0999999999999996</v>
      </c>
      <c r="T151" s="224">
        <f t="shared" si="22"/>
        <v>0.5</v>
      </c>
      <c r="U151" s="224">
        <f t="shared" si="33"/>
        <v>0</v>
      </c>
      <c r="V151" s="79"/>
      <c r="W151" s="79"/>
      <c r="X151" s="79"/>
      <c r="Y151" s="79"/>
      <c r="Z151" s="79"/>
      <c r="AA151" s="79"/>
      <c r="AB151" s="227"/>
      <c r="AC151" s="92"/>
      <c r="AD151" s="79"/>
      <c r="AE151" s="79"/>
      <c r="AF151" s="79"/>
      <c r="AG151" s="79"/>
      <c r="AH151" s="79"/>
      <c r="AI151" s="79"/>
      <c r="AJ151" s="79"/>
      <c r="AK151" s="79"/>
      <c r="AL151" s="79"/>
      <c r="AM151" s="79"/>
      <c r="AN151" s="231"/>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hidden="1" outlineLevel="1" x14ac:dyDescent="0.4">
      <c r="A152" s="30" t="str">
        <f t="shared" si="21"/>
        <v>lt003_entitypure_trnvr_cca</v>
      </c>
      <c r="B152" s="142" t="s">
        <v>26</v>
      </c>
      <c r="C152" s="138" t="s">
        <v>26</v>
      </c>
      <c r="D152" s="253" t="s">
        <v>40</v>
      </c>
      <c r="E152" s="257" t="s">
        <v>336</v>
      </c>
      <c r="F152" s="257"/>
      <c r="G152" s="257" t="s">
        <v>352</v>
      </c>
      <c r="H152" s="255" t="str">
        <f>VLOOKUP(A152,'2. Status Detalhe Campos'!$A$7:$G$574,7,0)</f>
        <v>3. Pendente de outros desenvolvimentos</v>
      </c>
      <c r="I152" s="229" t="s">
        <v>38</v>
      </c>
      <c r="J152" s="153">
        <v>45614</v>
      </c>
      <c r="K152" s="153">
        <v>45596</v>
      </c>
      <c r="L152" s="280">
        <f t="array" ref="L152">MIN(IF(V152:CH152&gt;0,$V$16:$CH$16))</f>
        <v>45624</v>
      </c>
      <c r="M152" s="279">
        <f t="array" ref="M152">MAX(IF(V152:CH152&gt;0,$V$16:$CH$16))</f>
        <v>45624</v>
      </c>
      <c r="N152" s="277">
        <f>VLOOKUP(H152,Auxiliar!$B$16:$E$24,4,0)</f>
        <v>0</v>
      </c>
      <c r="O152" s="277">
        <f t="shared" ca="1" si="32"/>
        <v>0</v>
      </c>
      <c r="P152" s="276">
        <f t="shared" ca="1" si="34"/>
        <v>0</v>
      </c>
      <c r="Q152" s="276"/>
      <c r="R152" s="230"/>
      <c r="S152" s="224">
        <v>4.0999999999999996</v>
      </c>
      <c r="T152" s="224">
        <f t="shared" si="22"/>
        <v>0.5</v>
      </c>
      <c r="U152" s="224">
        <f t="shared" si="33"/>
        <v>0</v>
      </c>
      <c r="V152" s="79"/>
      <c r="W152" s="79"/>
      <c r="X152" s="79"/>
      <c r="Y152" s="79"/>
      <c r="Z152" s="79"/>
      <c r="AA152" s="79"/>
      <c r="AB152" s="227"/>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hidden="1" outlineLevel="1" x14ac:dyDescent="0.4">
      <c r="A153" s="30" t="str">
        <f t="shared" ref="A153:A160" si="35">E153&amp;G153</f>
        <v>lt003_entityflg_excldd_eu_prs_algnd_bnchmrk</v>
      </c>
      <c r="B153" s="142" t="s">
        <v>26</v>
      </c>
      <c r="C153" s="138" t="s">
        <v>26</v>
      </c>
      <c r="D153" s="253" t="s">
        <v>40</v>
      </c>
      <c r="E153" s="257" t="s">
        <v>336</v>
      </c>
      <c r="F153" s="257"/>
      <c r="G153" s="257" t="s">
        <v>357</v>
      </c>
      <c r="H153" s="255" t="str">
        <f>VLOOKUP(A153,'2. Status Detalhe Campos'!$A$7:$G$574,7,0)</f>
        <v>3. Pendente de outros desenvolvimentos</v>
      </c>
      <c r="I153" s="229" t="s">
        <v>38</v>
      </c>
      <c r="J153" s="153">
        <v>45614</v>
      </c>
      <c r="K153" s="153">
        <v>45596</v>
      </c>
      <c r="L153" s="280">
        <f t="array" ref="L153">MIN(IF(V153:CH153&gt;0,$V$16:$CH$16))</f>
        <v>45629</v>
      </c>
      <c r="M153" s="279">
        <f t="array" ref="M153">MAX(IF(V153:CH153&gt;0,$V$16:$CH$16))</f>
        <v>45629</v>
      </c>
      <c r="N153" s="277">
        <f>VLOOKUP(H153,Auxiliar!$B$16:$E$24,4,0)</f>
        <v>0</v>
      </c>
      <c r="O153" s="277">
        <f t="shared" ca="1" si="32"/>
        <v>0</v>
      </c>
      <c r="P153" s="276">
        <f t="shared" ca="1" si="34"/>
        <v>0</v>
      </c>
      <c r="Q153" s="276"/>
      <c r="R153" s="230"/>
      <c r="S153" s="224">
        <v>4.0999999999999996</v>
      </c>
      <c r="T153" s="224">
        <f t="shared" ref="T153:T160" si="36">ROUND(S153/8,1)</f>
        <v>0.5</v>
      </c>
      <c r="U153" s="224">
        <f t="shared" si="33"/>
        <v>0</v>
      </c>
      <c r="V153" s="79"/>
      <c r="W153" s="79"/>
      <c r="X153" s="79"/>
      <c r="Y153" s="79"/>
      <c r="Z153" s="79"/>
      <c r="AA153" s="79"/>
      <c r="AB153" s="227"/>
      <c r="AC153" s="92"/>
      <c r="AD153" s="79"/>
      <c r="AE153" s="79"/>
      <c r="AF153" s="79"/>
      <c r="AG153" s="79"/>
      <c r="AH153" s="79"/>
      <c r="AI153" s="79"/>
      <c r="AJ153" s="79"/>
      <c r="AK153" s="79"/>
      <c r="AL153" s="79"/>
      <c r="AM153" s="79"/>
      <c r="AN153" s="231"/>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hidden="1" outlineLevel="1" x14ac:dyDescent="0.4">
      <c r="A154" s="30" t="str">
        <f t="shared" si="35"/>
        <v>lt003_entityflg_act_physcl_rsk</v>
      </c>
      <c r="B154" s="142" t="s">
        <v>26</v>
      </c>
      <c r="C154" s="138" t="s">
        <v>26</v>
      </c>
      <c r="D154" s="253" t="s">
        <v>40</v>
      </c>
      <c r="E154" s="257" t="s">
        <v>336</v>
      </c>
      <c r="F154" s="257"/>
      <c r="G154" s="257" t="s">
        <v>358</v>
      </c>
      <c r="H154" s="255" t="str">
        <f>VLOOKUP(A154,'2. Status Detalhe Campos'!$A$7:$G$574,7,0)</f>
        <v>3. Pendente de outros desenvolvimentos</v>
      </c>
      <c r="I154" s="229">
        <v>45589</v>
      </c>
      <c r="J154" s="235">
        <v>45596</v>
      </c>
      <c r="K154" s="153">
        <v>45596</v>
      </c>
      <c r="L154" s="280">
        <f t="array" ref="L154">MIN(IF(V154:CH154&gt;0,$V$16:$CH$16))</f>
        <v>45630</v>
      </c>
      <c r="M154" s="279">
        <f t="array" ref="M154">MAX(IF(V154:CH154&gt;0,$V$16:$CH$16))</f>
        <v>45630</v>
      </c>
      <c r="N154" s="277">
        <f>VLOOKUP(H154,Auxiliar!$B$16:$E$24,4,0)</f>
        <v>0</v>
      </c>
      <c r="O154" s="277">
        <f t="shared" ca="1" si="32"/>
        <v>0</v>
      </c>
      <c r="P154" s="276">
        <f t="shared" ca="1" si="34"/>
        <v>0</v>
      </c>
      <c r="Q154" s="276"/>
      <c r="R154" s="230"/>
      <c r="S154" s="224">
        <v>4.0999999999999996</v>
      </c>
      <c r="T154" s="224">
        <f t="shared" si="36"/>
        <v>0.5</v>
      </c>
      <c r="U154" s="224">
        <f t="shared" si="33"/>
        <v>0</v>
      </c>
      <c r="V154" s="79"/>
      <c r="W154" s="79"/>
      <c r="X154" s="79"/>
      <c r="Y154" s="79"/>
      <c r="Z154" s="79"/>
      <c r="AA154" s="79"/>
      <c r="AB154" s="227"/>
      <c r="AC154" s="92"/>
      <c r="AD154" s="79"/>
      <c r="AE154" s="79"/>
      <c r="AF154" s="79"/>
      <c r="AG154" s="79"/>
      <c r="AH154" s="79"/>
      <c r="AI154" s="79"/>
      <c r="AJ154" s="79"/>
      <c r="AK154" s="79"/>
      <c r="AL154" s="79"/>
      <c r="AM154" s="79"/>
      <c r="AN154" s="79"/>
      <c r="AO154" s="79"/>
      <c r="AP154" s="79"/>
      <c r="AQ154" s="79"/>
      <c r="AR154" s="79"/>
      <c r="AS154" s="79"/>
      <c r="AT154" s="79"/>
      <c r="AU154" s="79"/>
      <c r="AV154" s="231"/>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hidden="1" outlineLevel="1" x14ac:dyDescent="0.4">
      <c r="A155" s="30" t="str">
        <f t="shared" si="35"/>
        <v>lt003_entityflg_chrnc_physcl_rsk</v>
      </c>
      <c r="B155" s="142" t="s">
        <v>26</v>
      </c>
      <c r="C155" s="138" t="s">
        <v>26</v>
      </c>
      <c r="D155" s="253" t="s">
        <v>40</v>
      </c>
      <c r="E155" s="257" t="s">
        <v>336</v>
      </c>
      <c r="F155" s="257"/>
      <c r="G155" s="257" t="s">
        <v>359</v>
      </c>
      <c r="H155" s="255" t="str">
        <f>VLOOKUP(A155,'2. Status Detalhe Campos'!$A$7:$G$574,7,0)</f>
        <v>3. Pendente de outros desenvolvimentos</v>
      </c>
      <c r="I155" s="229">
        <v>45589</v>
      </c>
      <c r="J155" s="235">
        <v>45596</v>
      </c>
      <c r="K155" s="153">
        <v>45596</v>
      </c>
      <c r="L155" s="280">
        <f t="array" ref="L155">MIN(IF(V155:CH155&gt;0,$V$16:$CH$16))</f>
        <v>45630</v>
      </c>
      <c r="M155" s="279">
        <f t="array" ref="M155">MAX(IF(V155:CH155&gt;0,$V$16:$CH$16))</f>
        <v>45630</v>
      </c>
      <c r="N155" s="277">
        <f>VLOOKUP(H155,Auxiliar!$B$16:$E$24,4,0)</f>
        <v>0</v>
      </c>
      <c r="O155" s="277">
        <f t="shared" ca="1" si="32"/>
        <v>0</v>
      </c>
      <c r="P155" s="276">
        <f t="shared" ca="1" si="34"/>
        <v>0</v>
      </c>
      <c r="Q155" s="276"/>
      <c r="R155" s="230"/>
      <c r="S155" s="224">
        <v>4.0999999999999996</v>
      </c>
      <c r="T155" s="224">
        <f t="shared" si="36"/>
        <v>0.5</v>
      </c>
      <c r="U155" s="224">
        <f t="shared" si="33"/>
        <v>0</v>
      </c>
      <c r="V155" s="79"/>
      <c r="W155" s="79"/>
      <c r="X155" s="79"/>
      <c r="Y155" s="79"/>
      <c r="Z155" s="79"/>
      <c r="AA155" s="79"/>
      <c r="AB155" s="227"/>
      <c r="AC155" s="92"/>
      <c r="AD155" s="79"/>
      <c r="AE155" s="79"/>
      <c r="AF155" s="79"/>
      <c r="AG155" s="79"/>
      <c r="AH155" s="79"/>
      <c r="AI155" s="79"/>
      <c r="AJ155" s="79"/>
      <c r="AK155" s="79"/>
      <c r="AL155" s="79"/>
      <c r="AM155" s="79"/>
      <c r="AN155" s="79"/>
      <c r="AO155" s="79"/>
      <c r="AP155" s="79"/>
      <c r="AQ155" s="79"/>
      <c r="AR155" s="79"/>
      <c r="AS155" s="79"/>
      <c r="AT155" s="79"/>
      <c r="AU155" s="79"/>
      <c r="AV155" s="231"/>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hidden="1" outlineLevel="1" x14ac:dyDescent="0.4">
      <c r="A156" s="30" t="str">
        <f t="shared" si="35"/>
        <v>lt003_entitypst_cd</v>
      </c>
      <c r="B156" s="142" t="s">
        <v>26</v>
      </c>
      <c r="C156" s="138" t="s">
        <v>26</v>
      </c>
      <c r="D156" s="253" t="s">
        <v>40</v>
      </c>
      <c r="E156" s="257" t="s">
        <v>336</v>
      </c>
      <c r="F156" s="257"/>
      <c r="G156" s="257" t="s">
        <v>360</v>
      </c>
      <c r="H156" s="255" t="str">
        <f>VLOOKUP(A156,'2. Status Detalhe Campos'!$A$7:$G$574,7,0)</f>
        <v>1. Concluído</v>
      </c>
      <c r="I156" s="229" t="s">
        <v>38</v>
      </c>
      <c r="J156" s="153">
        <v>45596</v>
      </c>
      <c r="K156" s="153">
        <v>45596</v>
      </c>
      <c r="L156" s="280">
        <f t="array" ref="L156">MIN(IF(V156:CH156&gt;0,$V$16:$CH$16))</f>
        <v>45600</v>
      </c>
      <c r="M156" s="279">
        <f t="array" ref="M156">MAX(IF(V156:CH156&gt;0,$V$16:$CH$16))</f>
        <v>45600</v>
      </c>
      <c r="N156" s="277">
        <f>VLOOKUP(H156,Auxiliar!$B$16:$E$24,4,0)</f>
        <v>1</v>
      </c>
      <c r="O156" s="277">
        <f t="shared" ca="1" si="32"/>
        <v>1</v>
      </c>
      <c r="P156" s="276">
        <f t="shared" ca="1" si="34"/>
        <v>0</v>
      </c>
      <c r="Q156" s="276"/>
      <c r="R156" s="230" t="s">
        <v>1308</v>
      </c>
      <c r="S156" s="224">
        <v>4.0999999999999996</v>
      </c>
      <c r="T156" s="224">
        <f t="shared" si="36"/>
        <v>0.5</v>
      </c>
      <c r="U156" s="224">
        <f t="shared" si="33"/>
        <v>0</v>
      </c>
      <c r="V156" s="79"/>
      <c r="W156" s="79"/>
      <c r="X156" s="79"/>
      <c r="Y156" s="79"/>
      <c r="Z156" s="79"/>
      <c r="AA156" s="79"/>
      <c r="AB156" s="227"/>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hidden="1" outlineLevel="1" x14ac:dyDescent="0.4">
      <c r="A157" s="30" t="str">
        <f t="shared" si="35"/>
        <v>lt003_entityflg_grp_nfrd_applcblty</v>
      </c>
      <c r="B157" s="142" t="s">
        <v>26</v>
      </c>
      <c r="C157" s="138" t="s">
        <v>26</v>
      </c>
      <c r="D157" s="253" t="s">
        <v>40</v>
      </c>
      <c r="E157" s="257" t="s">
        <v>336</v>
      </c>
      <c r="F157" s="257"/>
      <c r="G157" s="257" t="s">
        <v>365</v>
      </c>
      <c r="H157" s="255" t="str">
        <f>VLOOKUP(A157,'2. Status Detalhe Campos'!$A$7:$G$574,7,0)</f>
        <v>3. Pendente de outros desenvolvimentos</v>
      </c>
      <c r="I157" s="153">
        <v>45588</v>
      </c>
      <c r="J157" s="235">
        <v>45596</v>
      </c>
      <c r="K157" s="153">
        <v>45596</v>
      </c>
      <c r="L157" s="280">
        <f t="array" ref="L157">MIN(IF(V157:CH157&gt;0,$V$16:$CH$16))</f>
        <v>45632</v>
      </c>
      <c r="M157" s="279">
        <f t="array" ref="M157">MAX(IF(V157:CH157&gt;0,$V$16:$CH$16))</f>
        <v>45632</v>
      </c>
      <c r="N157" s="277">
        <f>VLOOKUP(H157,Auxiliar!$B$16:$E$24,4,0)</f>
        <v>0</v>
      </c>
      <c r="O157" s="277">
        <f t="shared" ca="1" si="32"/>
        <v>0</v>
      </c>
      <c r="P157" s="276">
        <f t="shared" ca="1" si="34"/>
        <v>0</v>
      </c>
      <c r="Q157" s="276"/>
      <c r="R157" s="230"/>
      <c r="S157" s="224">
        <v>4.0999999999999996</v>
      </c>
      <c r="T157" s="224">
        <f t="shared" si="36"/>
        <v>0.5</v>
      </c>
      <c r="U157" s="224">
        <f t="shared" si="33"/>
        <v>0</v>
      </c>
      <c r="V157" s="237"/>
      <c r="W157" s="79"/>
      <c r="X157" s="79"/>
      <c r="Y157" s="79"/>
      <c r="Z157" s="79"/>
      <c r="AA157" s="79"/>
      <c r="AB157" s="227"/>
      <c r="AC157" s="92"/>
      <c r="AD157" s="79"/>
      <c r="AE157" s="79"/>
      <c r="AF157" s="79"/>
      <c r="AG157" s="79"/>
      <c r="AH157" s="79"/>
      <c r="AI157" s="79"/>
      <c r="AJ157" s="79"/>
      <c r="AK157" s="79"/>
      <c r="AL157" s="79"/>
      <c r="AM157" s="79"/>
      <c r="AN157" s="231"/>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hidden="1" outlineLevel="1" x14ac:dyDescent="0.4">
      <c r="A158" s="30" t="str">
        <f t="shared" si="35"/>
        <v>lt003_entitygrp_emssns_scp1</v>
      </c>
      <c r="B158" s="142" t="s">
        <v>26</v>
      </c>
      <c r="C158" s="138" t="s">
        <v>26</v>
      </c>
      <c r="D158" s="253" t="s">
        <v>40</v>
      </c>
      <c r="E158" s="257" t="s">
        <v>336</v>
      </c>
      <c r="F158" s="257"/>
      <c r="G158" s="257" t="s">
        <v>366</v>
      </c>
      <c r="H158" s="255" t="str">
        <f>VLOOKUP(A158,'2. Status Detalhe Campos'!$A$7:$G$574,7,0)</f>
        <v>3. Pendente de outros desenvolvimentos</v>
      </c>
      <c r="I158" s="153">
        <v>45588</v>
      </c>
      <c r="J158" s="235">
        <v>45596</v>
      </c>
      <c r="K158" s="153">
        <v>45596</v>
      </c>
      <c r="L158" s="280">
        <f t="array" ref="L158">MIN(IF(V158:CH158&gt;0,$V$16:$CH$16))</f>
        <v>45632</v>
      </c>
      <c r="M158" s="279">
        <f t="array" ref="M158">MAX(IF(V158:CH158&gt;0,$V$16:$CH$16))</f>
        <v>45632</v>
      </c>
      <c r="N158" s="277">
        <f>VLOOKUP(H158,Auxiliar!$B$16:$E$24,4,0)</f>
        <v>0</v>
      </c>
      <c r="O158" s="277">
        <f t="shared" ca="1" si="32"/>
        <v>0</v>
      </c>
      <c r="P158" s="276">
        <f t="shared" ca="1" si="34"/>
        <v>0</v>
      </c>
      <c r="Q158" s="276"/>
      <c r="R158" s="230"/>
      <c r="S158" s="224">
        <v>4.0999999999999996</v>
      </c>
      <c r="T158" s="224">
        <f t="shared" si="36"/>
        <v>0.5</v>
      </c>
      <c r="U158" s="224">
        <f t="shared" si="33"/>
        <v>0</v>
      </c>
      <c r="V158" s="237"/>
      <c r="W158" s="79"/>
      <c r="X158" s="79"/>
      <c r="Y158" s="79"/>
      <c r="Z158" s="79"/>
      <c r="AA158" s="79"/>
      <c r="AB158" s="227"/>
      <c r="AC158" s="92"/>
      <c r="AD158" s="79"/>
      <c r="AE158" s="79"/>
      <c r="AF158" s="79"/>
      <c r="AG158" s="79"/>
      <c r="AH158" s="79"/>
      <c r="AI158" s="79"/>
      <c r="AJ158" s="79"/>
      <c r="AK158" s="79"/>
      <c r="AL158" s="79"/>
      <c r="AM158" s="79"/>
      <c r="AN158" s="79"/>
      <c r="AO158" s="79"/>
      <c r="AP158" s="79"/>
      <c r="AQ158" s="79"/>
      <c r="AR158" s="79"/>
      <c r="AS158" s="231"/>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hidden="1" outlineLevel="1" x14ac:dyDescent="0.4">
      <c r="A159" s="30" t="str">
        <f t="shared" si="35"/>
        <v>lt003_entitygrp_emssns_scp2</v>
      </c>
      <c r="B159" s="142" t="s">
        <v>26</v>
      </c>
      <c r="C159" s="138" t="s">
        <v>26</v>
      </c>
      <c r="D159" s="253" t="s">
        <v>40</v>
      </c>
      <c r="E159" s="257" t="s">
        <v>336</v>
      </c>
      <c r="F159" s="257"/>
      <c r="G159" s="257" t="s">
        <v>367</v>
      </c>
      <c r="H159" s="255" t="str">
        <f>VLOOKUP(A159,'2. Status Detalhe Campos'!$A$7:$G$574,7,0)</f>
        <v>3. Pendente de outros desenvolvimentos</v>
      </c>
      <c r="I159" s="153">
        <v>45588</v>
      </c>
      <c r="J159" s="235">
        <v>45596</v>
      </c>
      <c r="K159" s="153">
        <v>45596</v>
      </c>
      <c r="L159" s="280">
        <f t="array" ref="L159">MIN(IF(V159:CH159&gt;0,$V$16:$CH$16))</f>
        <v>45635</v>
      </c>
      <c r="M159" s="279">
        <f t="array" ref="M159">MAX(IF(V159:CH159&gt;0,$V$16:$CH$16))</f>
        <v>45635</v>
      </c>
      <c r="N159" s="277">
        <f>VLOOKUP(H159,Auxiliar!$B$16:$E$24,4,0)</f>
        <v>0</v>
      </c>
      <c r="O159" s="277">
        <f t="shared" ca="1" si="32"/>
        <v>0</v>
      </c>
      <c r="P159" s="276">
        <f t="shared" ca="1" si="34"/>
        <v>0</v>
      </c>
      <c r="Q159" s="276"/>
      <c r="R159" s="230"/>
      <c r="S159" s="224">
        <v>4.0999999999999996</v>
      </c>
      <c r="T159" s="224">
        <f t="shared" si="36"/>
        <v>0.5</v>
      </c>
      <c r="U159" s="224">
        <f t="shared" si="33"/>
        <v>0</v>
      </c>
      <c r="V159" s="237"/>
      <c r="W159" s="79"/>
      <c r="X159" s="79"/>
      <c r="Y159" s="79"/>
      <c r="Z159" s="79"/>
      <c r="AA159" s="79"/>
      <c r="AB159" s="227"/>
      <c r="AC159" s="92"/>
      <c r="AD159" s="79"/>
      <c r="AE159" s="79"/>
      <c r="AF159" s="79"/>
      <c r="AG159" s="79"/>
      <c r="AH159" s="79"/>
      <c r="AI159" s="79"/>
      <c r="AJ159" s="79"/>
      <c r="AK159" s="79"/>
      <c r="AL159" s="79"/>
      <c r="AM159" s="79"/>
      <c r="AN159" s="79"/>
      <c r="AO159" s="79"/>
      <c r="AP159" s="79"/>
      <c r="AQ159" s="79"/>
      <c r="AR159" s="79"/>
      <c r="AS159" s="231"/>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hidden="1" outlineLevel="1" x14ac:dyDescent="0.4">
      <c r="A160" s="30" t="str">
        <f t="shared" si="35"/>
        <v>lt003_entitygrp_emssns_scp3</v>
      </c>
      <c r="B160" s="142" t="s">
        <v>26</v>
      </c>
      <c r="C160" s="138" t="s">
        <v>26</v>
      </c>
      <c r="D160" s="253" t="s">
        <v>40</v>
      </c>
      <c r="E160" s="257" t="s">
        <v>336</v>
      </c>
      <c r="F160" s="257"/>
      <c r="G160" s="257" t="s">
        <v>368</v>
      </c>
      <c r="H160" s="255" t="str">
        <f>VLOOKUP(A160,'2. Status Detalhe Campos'!$A$7:$G$574,7,0)</f>
        <v>3. Pendente de outros desenvolvimentos</v>
      </c>
      <c r="I160" s="153">
        <v>45588</v>
      </c>
      <c r="J160" s="235">
        <v>45596</v>
      </c>
      <c r="K160" s="153">
        <v>45596</v>
      </c>
      <c r="L160" s="280">
        <f t="array" ref="L160">MIN(IF(V160:CH160&gt;0,$V$16:$CH$16))</f>
        <v>45635</v>
      </c>
      <c r="M160" s="279">
        <f t="array" ref="M160">MAX(IF(V160:CH160&gt;0,$V$16:$CH$16))</f>
        <v>45635</v>
      </c>
      <c r="N160" s="277">
        <f>VLOOKUP(H160,Auxiliar!$B$16:$E$24,4,0)</f>
        <v>0</v>
      </c>
      <c r="O160" s="277">
        <f t="shared" ca="1" si="32"/>
        <v>0</v>
      </c>
      <c r="P160" s="276">
        <f t="shared" ca="1" si="34"/>
        <v>0</v>
      </c>
      <c r="Q160" s="276"/>
      <c r="R160" s="230"/>
      <c r="S160" s="224">
        <v>4.0999999999999996</v>
      </c>
      <c r="T160" s="224">
        <f t="shared" si="36"/>
        <v>0.5</v>
      </c>
      <c r="U160" s="224">
        <f t="shared" si="33"/>
        <v>0</v>
      </c>
      <c r="V160" s="237"/>
      <c r="W160" s="79"/>
      <c r="X160" s="79"/>
      <c r="Y160" s="79"/>
      <c r="Z160" s="79"/>
      <c r="AA160" s="79"/>
      <c r="AB160" s="227"/>
      <c r="AC160" s="92"/>
      <c r="AD160" s="79"/>
      <c r="AE160" s="79"/>
      <c r="AF160" s="79"/>
      <c r="AG160" s="79"/>
      <c r="AH160" s="79"/>
      <c r="AI160" s="79"/>
      <c r="AJ160" s="79"/>
      <c r="AK160" s="79"/>
      <c r="AL160" s="79"/>
      <c r="AM160" s="79"/>
      <c r="AN160" s="79"/>
      <c r="AO160" s="79"/>
      <c r="AP160" s="79"/>
      <c r="AQ160" s="79"/>
      <c r="AR160" s="79"/>
      <c r="AS160" s="231"/>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ollapsed="1" x14ac:dyDescent="0.4">
      <c r="A161" s="30"/>
      <c r="B161" s="142" t="s">
        <v>26</v>
      </c>
      <c r="C161" s="138" t="s">
        <v>26</v>
      </c>
      <c r="D161" s="134"/>
      <c r="E161" s="263" t="s">
        <v>336</v>
      </c>
      <c r="F161" s="260" t="s">
        <v>2010</v>
      </c>
      <c r="G161" s="261">
        <f>COUNTA(G162:G166)</f>
        <v>5</v>
      </c>
      <c r="H161" s="136"/>
      <c r="I161" s="259">
        <f>MAX(I162:I166)</f>
        <v>45590</v>
      </c>
      <c r="J161" s="258">
        <f>MIN(J162:J166)</f>
        <v>45611</v>
      </c>
      <c r="K161" s="258"/>
      <c r="L161" s="258">
        <f>MIN(L162:L166)</f>
        <v>45614</v>
      </c>
      <c r="M161" s="259">
        <f>MAX(M162:M166)</f>
        <v>45631</v>
      </c>
      <c r="N161" s="282">
        <f>SUMPRODUCT(N162:N166,T162:T166)/SUM(T162:T166)</f>
        <v>0</v>
      </c>
      <c r="O161" s="282">
        <f ca="1">SUMPRODUCT(O162:O166,T162:T166)/SUM(T162:T166)</f>
        <v>0</v>
      </c>
      <c r="P161" s="276">
        <f t="shared" ca="1" si="34"/>
        <v>0</v>
      </c>
      <c r="Q161" s="287" t="s">
        <v>38</v>
      </c>
      <c r="R161" s="230"/>
      <c r="S161" s="224"/>
      <c r="T161" s="224"/>
      <c r="U161" s="224"/>
      <c r="V161" s="79"/>
      <c r="W161" s="79"/>
      <c r="X161" s="79"/>
      <c r="Y161" s="79"/>
      <c r="Z161" s="79"/>
      <c r="AA161" s="79"/>
      <c r="AB161" s="79"/>
      <c r="AC161" s="92"/>
      <c r="AD161" s="79"/>
      <c r="AE161" s="79"/>
      <c r="AF161" s="79"/>
      <c r="AG161" s="79"/>
      <c r="AH161" s="79"/>
      <c r="AI161" s="79"/>
      <c r="AJ161" s="79"/>
      <c r="AK161" s="79"/>
      <c r="AL161" s="79"/>
      <c r="AM161" s="231"/>
      <c r="AN161" s="79"/>
      <c r="AO161" s="79"/>
      <c r="AP161" s="79"/>
      <c r="AQ161" s="79"/>
      <c r="AR161" s="79"/>
      <c r="AS161" s="79"/>
      <c r="AT161" s="79"/>
      <c r="AU161" s="79"/>
      <c r="AV161" s="79"/>
      <c r="AW161" s="79"/>
      <c r="AX161" s="79"/>
      <c r="AY161" s="79"/>
      <c r="AZ161" s="79"/>
      <c r="BA161" s="79"/>
      <c r="BB161" s="266"/>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hidden="1" outlineLevel="1" x14ac:dyDescent="0.4">
      <c r="A162" s="30" t="str">
        <f t="shared" si="21"/>
        <v>lt003_entityflg_nfrd_applcblty</v>
      </c>
      <c r="B162" s="142" t="s">
        <v>26</v>
      </c>
      <c r="C162" s="138" t="s">
        <v>26</v>
      </c>
      <c r="D162" s="253" t="s">
        <v>40</v>
      </c>
      <c r="E162" s="257" t="s">
        <v>336</v>
      </c>
      <c r="F162" s="257"/>
      <c r="G162" s="257" t="s">
        <v>353</v>
      </c>
      <c r="H162" s="255" t="str">
        <f>VLOOKUP(A162,'2. Status Detalhe Campos'!$A$7:$G$574,7,0)</f>
        <v>6. Em implementação (re-especificação)</v>
      </c>
      <c r="I162" s="229">
        <v>45589</v>
      </c>
      <c r="J162" s="236">
        <v>45611</v>
      </c>
      <c r="K162" s="229"/>
      <c r="L162" s="280">
        <f t="array" ref="L162">MIN(IF(V162:CH162&gt;0,$V$16:$CH$16))</f>
        <v>45624</v>
      </c>
      <c r="M162" s="279">
        <f t="array" ref="M162">MAX(IF(V162:CH162&gt;0,$V$16:$CH$16))</f>
        <v>45624</v>
      </c>
      <c r="N162" s="277">
        <f>VLOOKUP(H162,Auxiliar!$B$16:$E$24,4,0)</f>
        <v>0</v>
      </c>
      <c r="O162" s="277">
        <f t="shared" ref="O162:O166" ca="1" si="37">IF(TODAY()&lt;=L162,0,MIN((TODAY()-L162)/(M162-L162+1),100%))</f>
        <v>0</v>
      </c>
      <c r="P162" s="276">
        <f t="shared" ca="1" si="34"/>
        <v>0</v>
      </c>
      <c r="Q162" s="287" t="s">
        <v>38</v>
      </c>
      <c r="R162" s="230"/>
      <c r="S162" s="224">
        <v>4.0999999999999996</v>
      </c>
      <c r="T162" s="224">
        <f t="shared" si="22"/>
        <v>0.5</v>
      </c>
      <c r="U162" s="224">
        <f>SUM(V162:CH162)-T162</f>
        <v>0</v>
      </c>
      <c r="V162" s="79"/>
      <c r="W162" s="79"/>
      <c r="X162" s="79"/>
      <c r="Y162" s="79"/>
      <c r="Z162" s="79"/>
      <c r="AA162" s="79"/>
      <c r="AB162" s="79"/>
      <c r="AC162" s="92"/>
      <c r="AD162" s="79"/>
      <c r="AE162" s="79"/>
      <c r="AF162" s="79"/>
      <c r="AG162" s="79"/>
      <c r="AH162" s="79"/>
      <c r="AI162" s="79"/>
      <c r="AJ162" s="79"/>
      <c r="AK162" s="79"/>
      <c r="AL162" s="79"/>
      <c r="AM162" s="231"/>
      <c r="AN162" s="231"/>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hidden="1" outlineLevel="1" x14ac:dyDescent="0.4">
      <c r="A163" s="30" t="str">
        <f>E163&amp;G163</f>
        <v>lt003_entitypure_capex_cca</v>
      </c>
      <c r="B163" s="142" t="s">
        <v>26</v>
      </c>
      <c r="C163" s="138" t="s">
        <v>26</v>
      </c>
      <c r="D163" s="253" t="s">
        <v>40</v>
      </c>
      <c r="E163" s="257" t="s">
        <v>336</v>
      </c>
      <c r="F163" s="257"/>
      <c r="G163" s="257" t="s">
        <v>347</v>
      </c>
      <c r="H163" s="255" t="str">
        <f>VLOOKUP(A163,'2. Status Detalhe Campos'!$A$7:$G$574,7,0)</f>
        <v>6. Em implementação (re-especificação)</v>
      </c>
      <c r="I163" s="229" t="s">
        <v>38</v>
      </c>
      <c r="J163" s="235">
        <v>45611</v>
      </c>
      <c r="K163" s="153"/>
      <c r="L163" s="280">
        <f t="array" ref="L163">MIN(IF(V163:CH163&gt;0,$V$16:$CH$16))</f>
        <v>45623</v>
      </c>
      <c r="M163" s="279">
        <f t="array" ref="M163">MAX(IF(V163:CH163&gt;0,$V$16:$CH$16))</f>
        <v>45623</v>
      </c>
      <c r="N163" s="277">
        <f>VLOOKUP(H163,Auxiliar!$B$16:$E$24,4,0)</f>
        <v>0</v>
      </c>
      <c r="O163" s="277">
        <f t="shared" ca="1" si="37"/>
        <v>0</v>
      </c>
      <c r="P163" s="276">
        <f t="shared" ca="1" si="34"/>
        <v>0</v>
      </c>
      <c r="Q163" s="287" t="s">
        <v>38</v>
      </c>
      <c r="R163" s="230"/>
      <c r="S163" s="224">
        <v>4.0999999999999996</v>
      </c>
      <c r="T163" s="224">
        <f>ROUND(S163/8,1)</f>
        <v>0.5</v>
      </c>
      <c r="U163" s="224">
        <f>SUM(V163:CH163)-T163</f>
        <v>0</v>
      </c>
      <c r="V163" s="79"/>
      <c r="W163" s="79"/>
      <c r="X163" s="79"/>
      <c r="Y163" s="79"/>
      <c r="Z163" s="79"/>
      <c r="AA163" s="79"/>
      <c r="AB163" s="79"/>
      <c r="AC163" s="92"/>
      <c r="AD163" s="79"/>
      <c r="AE163" s="79"/>
      <c r="AF163" s="79"/>
      <c r="AG163" s="79"/>
      <c r="AH163" s="79"/>
      <c r="AI163" s="79"/>
      <c r="AJ163" s="79"/>
      <c r="AK163" s="79"/>
      <c r="AL163" s="79"/>
      <c r="AM163" s="231"/>
      <c r="AN163" s="231"/>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hidden="1" outlineLevel="1" x14ac:dyDescent="0.4">
      <c r="A164" s="30" t="str">
        <f>E164&amp;G164</f>
        <v>lt003_entityesg_sbsctr</v>
      </c>
      <c r="B164" s="142" t="s">
        <v>26</v>
      </c>
      <c r="C164" s="138" t="s">
        <v>26</v>
      </c>
      <c r="D164" s="253" t="s">
        <v>40</v>
      </c>
      <c r="E164" s="257" t="s">
        <v>336</v>
      </c>
      <c r="F164" s="257"/>
      <c r="G164" s="257" t="s">
        <v>361</v>
      </c>
      <c r="H164" s="255" t="str">
        <f>VLOOKUP(A164,'2. Status Detalhe Campos'!$A$7:$G$574,7,0)</f>
        <v>6. Em implementação (re-especificação)</v>
      </c>
      <c r="I164" s="229">
        <v>45583</v>
      </c>
      <c r="J164" s="236">
        <v>45611</v>
      </c>
      <c r="K164" s="229"/>
      <c r="L164" s="280">
        <f t="array" ref="L164">MIN(IF(V164:CH164&gt;0,$V$16:$CH$16))</f>
        <v>45631</v>
      </c>
      <c r="M164" s="279">
        <f t="array" ref="M164">MAX(IF(V164:CH164&gt;0,$V$16:$CH$16))</f>
        <v>45631</v>
      </c>
      <c r="N164" s="277">
        <f>VLOOKUP(H164,Auxiliar!$B$16:$E$24,4,0)</f>
        <v>0</v>
      </c>
      <c r="O164" s="277">
        <f t="shared" ca="1" si="37"/>
        <v>0</v>
      </c>
      <c r="P164" s="276">
        <f t="shared" ca="1" si="34"/>
        <v>0</v>
      </c>
      <c r="Q164" s="287" t="s">
        <v>38</v>
      </c>
      <c r="R164" s="230"/>
      <c r="S164" s="224">
        <v>4.0999999999999996</v>
      </c>
      <c r="T164" s="224">
        <f>ROUND(S164/8,1)</f>
        <v>0.5</v>
      </c>
      <c r="U164" s="224">
        <f>SUM(V164:CH164)-T164</f>
        <v>0</v>
      </c>
      <c r="V164" s="79"/>
      <c r="W164" s="79"/>
      <c r="X164" s="79"/>
      <c r="Y164" s="79"/>
      <c r="Z164" s="79"/>
      <c r="AA164" s="79"/>
      <c r="AB164" s="79"/>
      <c r="AC164" s="92"/>
      <c r="AD164" s="79"/>
      <c r="AE164" s="79"/>
      <c r="AF164" s="79"/>
      <c r="AG164" s="79"/>
      <c r="AH164" s="79"/>
      <c r="AI164" s="79"/>
      <c r="AJ164" s="79"/>
      <c r="AK164" s="79"/>
      <c r="AL164" s="79"/>
      <c r="AM164" s="231"/>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hidden="1" outlineLevel="1" x14ac:dyDescent="0.4">
      <c r="A165" s="30" t="str">
        <f>E165&amp;G165</f>
        <v>lt003_entitygrp_annl_trnvr_le</v>
      </c>
      <c r="B165" s="142" t="s">
        <v>26</v>
      </c>
      <c r="C165" s="138" t="s">
        <v>26</v>
      </c>
      <c r="D165" s="253" t="s">
        <v>40</v>
      </c>
      <c r="E165" s="257" t="s">
        <v>336</v>
      </c>
      <c r="F165" s="257"/>
      <c r="G165" s="257" t="s">
        <v>363</v>
      </c>
      <c r="H165" s="255" t="str">
        <f>VLOOKUP(A165,'2. Status Detalhe Campos'!$A$7:$G$574,7,0)</f>
        <v>6. Em implementação (re-especificação)</v>
      </c>
      <c r="I165" s="153">
        <v>45590</v>
      </c>
      <c r="J165" s="236">
        <v>45611</v>
      </c>
      <c r="K165" s="229"/>
      <c r="L165" s="280">
        <f t="array" ref="L165">MIN(IF(V165:CH165&gt;0,$V$16:$CH$16))</f>
        <v>45614</v>
      </c>
      <c r="M165" s="279">
        <f t="array" ref="M165">MAX(IF(V165:CH165&gt;0,$V$16:$CH$16))</f>
        <v>45614</v>
      </c>
      <c r="N165" s="277">
        <f>VLOOKUP(H165,Auxiliar!$B$16:$E$24,4,0)</f>
        <v>0</v>
      </c>
      <c r="O165" s="277">
        <f t="shared" ca="1" si="37"/>
        <v>0</v>
      </c>
      <c r="P165" s="276">
        <f t="shared" ca="1" si="34"/>
        <v>0</v>
      </c>
      <c r="Q165" s="287" t="s">
        <v>38</v>
      </c>
      <c r="R165" s="230"/>
      <c r="S165" s="224">
        <v>4.0999999999999996</v>
      </c>
      <c r="T165" s="224">
        <f>ROUND(S165/8,1)</f>
        <v>0.5</v>
      </c>
      <c r="U165" s="224">
        <f>SUM(V165:CH165)-T165</f>
        <v>0</v>
      </c>
      <c r="V165" s="79"/>
      <c r="W165" s="79"/>
      <c r="X165" s="237"/>
      <c r="Y165" s="79"/>
      <c r="Z165" s="79"/>
      <c r="AA165" s="79"/>
      <c r="AB165" s="79"/>
      <c r="AC165" s="92"/>
      <c r="AD165" s="79"/>
      <c r="AE165" s="79"/>
      <c r="AF165" s="79"/>
      <c r="AG165" s="79"/>
      <c r="AH165" s="79"/>
      <c r="AI165" s="79"/>
      <c r="AJ165" s="79"/>
      <c r="AK165" s="79"/>
      <c r="AL165" s="79"/>
      <c r="AM165" s="231"/>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hidden="1" outlineLevel="1" x14ac:dyDescent="0.4">
      <c r="A166" s="30" t="str">
        <f>E166&amp;G166</f>
        <v>lt003_entitygrp_ttl_lblty</v>
      </c>
      <c r="B166" s="142" t="s">
        <v>26</v>
      </c>
      <c r="C166" s="138" t="s">
        <v>26</v>
      </c>
      <c r="D166" s="253" t="s">
        <v>40</v>
      </c>
      <c r="E166" s="257" t="s">
        <v>336</v>
      </c>
      <c r="F166" s="257"/>
      <c r="G166" s="257" t="s">
        <v>364</v>
      </c>
      <c r="H166" s="255" t="str">
        <f>VLOOKUP(A166,'2. Status Detalhe Campos'!$A$7:$G$574,7,0)</f>
        <v>6. Em implementação (re-especificação)</v>
      </c>
      <c r="I166" s="153">
        <v>45590</v>
      </c>
      <c r="J166" s="236">
        <v>45611</v>
      </c>
      <c r="K166" s="229"/>
      <c r="L166" s="280">
        <f t="array" ref="L166">MIN(IF(V166:CH166&gt;0,$V$16:$CH$16))</f>
        <v>45614</v>
      </c>
      <c r="M166" s="279">
        <f t="array" ref="M166">MAX(IF(V166:CH166&gt;0,$V$16:$CH$16))</f>
        <v>45614</v>
      </c>
      <c r="N166" s="277">
        <f>VLOOKUP(H166,Auxiliar!$B$16:$E$24,4,0)</f>
        <v>0</v>
      </c>
      <c r="O166" s="277">
        <f t="shared" ca="1" si="37"/>
        <v>0</v>
      </c>
      <c r="P166" s="276">
        <f t="shared" ca="1" si="34"/>
        <v>0</v>
      </c>
      <c r="Q166" s="287" t="s">
        <v>38</v>
      </c>
      <c r="R166" s="230"/>
      <c r="S166" s="224">
        <v>4.0999999999999996</v>
      </c>
      <c r="T166" s="224">
        <f>ROUND(S166/8,1)</f>
        <v>0.5</v>
      </c>
      <c r="U166" s="224">
        <f>SUM(V166:CH166)-T166</f>
        <v>0</v>
      </c>
      <c r="V166" s="79"/>
      <c r="W166" s="79"/>
      <c r="X166" s="237"/>
      <c r="Y166" s="79"/>
      <c r="Z166" s="79"/>
      <c r="AA166" s="79"/>
      <c r="AB166" s="79"/>
      <c r="AC166" s="92"/>
      <c r="AD166" s="79"/>
      <c r="AE166" s="79"/>
      <c r="AF166" s="79"/>
      <c r="AG166" s="79"/>
      <c r="AH166" s="79"/>
      <c r="AI166" s="79"/>
      <c r="AJ166" s="79"/>
      <c r="AK166" s="79"/>
      <c r="AL166" s="79"/>
      <c r="AM166" s="231"/>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ollapsed="1" x14ac:dyDescent="0.4">
      <c r="A167" s="30"/>
      <c r="B167" s="142" t="s">
        <v>26</v>
      </c>
      <c r="C167" s="138" t="s">
        <v>26</v>
      </c>
      <c r="D167" s="134"/>
      <c r="E167" s="263" t="s">
        <v>336</v>
      </c>
      <c r="F167" s="260" t="s">
        <v>2011</v>
      </c>
      <c r="G167" s="261">
        <f>COUNTA(G168:G170)</f>
        <v>3</v>
      </c>
      <c r="H167" s="136"/>
      <c r="I167" s="259" t="s">
        <v>38</v>
      </c>
      <c r="J167" s="258">
        <f>MIN(J168:J170)</f>
        <v>45621</v>
      </c>
      <c r="K167" s="259">
        <f>MIN(K168:K170)</f>
        <v>45596</v>
      </c>
      <c r="L167" s="258">
        <f>MIN(L168:L170)</f>
        <v>45625</v>
      </c>
      <c r="M167" s="259">
        <f>MAX(M168:M170)</f>
        <v>45629</v>
      </c>
      <c r="N167" s="282">
        <f>SUMPRODUCT(N168:N170,T168:T170)/SUM(T168:T170)</f>
        <v>0</v>
      </c>
      <c r="O167" s="282">
        <f ca="1">SUMPRODUCT(O168:O170,T168:T170)/SUM(T168:T170)</f>
        <v>0</v>
      </c>
      <c r="P167" s="276">
        <f t="shared" ca="1" si="34"/>
        <v>0</v>
      </c>
      <c r="Q167" s="287" t="s">
        <v>38</v>
      </c>
      <c r="R167" s="230"/>
      <c r="S167" s="224"/>
      <c r="T167" s="224"/>
      <c r="U167" s="224"/>
      <c r="V167" s="79"/>
      <c r="W167" s="79"/>
      <c r="X167" s="79"/>
      <c r="Y167" s="79"/>
      <c r="Z167" s="79"/>
      <c r="AA167" s="79"/>
      <c r="AB167" s="227"/>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6"/>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hidden="1" outlineLevel="1" x14ac:dyDescent="0.4">
      <c r="A168" s="30" t="str">
        <f t="shared" si="21"/>
        <v>lt003_entitycntrprty_emssns_scp1</v>
      </c>
      <c r="B168" s="142" t="s">
        <v>26</v>
      </c>
      <c r="C168" s="138" t="s">
        <v>26</v>
      </c>
      <c r="D168" s="253" t="s">
        <v>40</v>
      </c>
      <c r="E168" s="257" t="s">
        <v>336</v>
      </c>
      <c r="F168" s="257"/>
      <c r="G168" s="257" t="s">
        <v>354</v>
      </c>
      <c r="H168" s="255" t="str">
        <f>VLOOKUP(A168,'2. Status Detalhe Campos'!$A$7:$G$574,7,0)</f>
        <v>3. Pendente de outros desenvolvimentos</v>
      </c>
      <c r="I168" s="229" t="s">
        <v>38</v>
      </c>
      <c r="J168" s="153">
        <v>45621</v>
      </c>
      <c r="K168" s="153">
        <v>45596</v>
      </c>
      <c r="L168" s="280">
        <f t="array" ref="L168">MIN(IF(V168:CH168&gt;0,$V$16:$CH$16))</f>
        <v>45625</v>
      </c>
      <c r="M168" s="279">
        <f t="array" ref="M168">MAX(IF(V168:CH168&gt;0,$V$16:$CH$16))</f>
        <v>45625</v>
      </c>
      <c r="N168" s="277">
        <f>VLOOKUP(H168,Auxiliar!$B$16:$E$24,4,0)</f>
        <v>0</v>
      </c>
      <c r="O168" s="277">
        <f t="shared" ref="O168:O170" ca="1" si="38">IF(TODAY()&lt;=L168,0,MIN((TODAY()-L168)/(M168-L168+1),100%))</f>
        <v>0</v>
      </c>
      <c r="P168" s="276">
        <f t="shared" ca="1" si="34"/>
        <v>0</v>
      </c>
      <c r="Q168" s="287" t="s">
        <v>38</v>
      </c>
      <c r="R168" s="230"/>
      <c r="S168" s="224">
        <v>4.0999999999999996</v>
      </c>
      <c r="T168" s="224">
        <f t="shared" si="22"/>
        <v>0.5</v>
      </c>
      <c r="U168" s="224">
        <f>SUM(V168:CH168)-T168</f>
        <v>0</v>
      </c>
      <c r="V168" s="79"/>
      <c r="W168" s="79"/>
      <c r="X168" s="79"/>
      <c r="Y168" s="79"/>
      <c r="Z168" s="79"/>
      <c r="AA168" s="79"/>
      <c r="AB168" s="227"/>
      <c r="AC168" s="92"/>
      <c r="AD168" s="79"/>
      <c r="AE168" s="79"/>
      <c r="AF168" s="79"/>
      <c r="AG168" s="79"/>
      <c r="AH168" s="79"/>
      <c r="AI168" s="79"/>
      <c r="AJ168" s="79"/>
      <c r="AK168" s="79"/>
      <c r="AL168" s="79"/>
      <c r="AM168" s="79"/>
      <c r="AN168" s="79"/>
      <c r="AO168" s="79"/>
      <c r="AP168" s="79"/>
      <c r="AQ168" s="79"/>
      <c r="AR168" s="79"/>
      <c r="AS168" s="231"/>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hidden="1" outlineLevel="1" x14ac:dyDescent="0.4">
      <c r="A169" s="30" t="str">
        <f t="shared" ref="A169:A172" si="39">E169&amp;G169</f>
        <v>lt003_entitycntrprty_emssns_scp2</v>
      </c>
      <c r="B169" s="142" t="s">
        <v>26</v>
      </c>
      <c r="C169" s="138" t="s">
        <v>26</v>
      </c>
      <c r="D169" s="253" t="s">
        <v>40</v>
      </c>
      <c r="E169" s="257" t="s">
        <v>336</v>
      </c>
      <c r="F169" s="257"/>
      <c r="G169" s="257" t="s">
        <v>355</v>
      </c>
      <c r="H169" s="255" t="str">
        <f>VLOOKUP(A169,'2. Status Detalhe Campos'!$A$7:$G$574,7,0)</f>
        <v>3. Pendente de outros desenvolvimentos</v>
      </c>
      <c r="I169" s="229" t="s">
        <v>38</v>
      </c>
      <c r="J169" s="153">
        <v>45621</v>
      </c>
      <c r="K169" s="153">
        <v>45596</v>
      </c>
      <c r="L169" s="280">
        <f t="array" ref="L169">MIN(IF(V169:CH169&gt;0,$V$16:$CH$16))</f>
        <v>45625</v>
      </c>
      <c r="M169" s="279">
        <f t="array" ref="M169">MAX(IF(V169:CH169&gt;0,$V$16:$CH$16))</f>
        <v>45625</v>
      </c>
      <c r="N169" s="277">
        <f>VLOOKUP(H169,Auxiliar!$B$16:$E$24,4,0)</f>
        <v>0</v>
      </c>
      <c r="O169" s="277">
        <f t="shared" ca="1" si="38"/>
        <v>0</v>
      </c>
      <c r="P169" s="276">
        <f t="shared" ca="1" si="34"/>
        <v>0</v>
      </c>
      <c r="Q169" s="287" t="s">
        <v>38</v>
      </c>
      <c r="R169" s="230"/>
      <c r="S169" s="224">
        <v>4.0999999999999996</v>
      </c>
      <c r="T169" s="224">
        <f t="shared" si="22"/>
        <v>0.5</v>
      </c>
      <c r="U169" s="224">
        <f>SUM(V169:CH169)-T169</f>
        <v>0</v>
      </c>
      <c r="V169" s="79"/>
      <c r="W169" s="79"/>
      <c r="X169" s="79"/>
      <c r="Y169" s="79"/>
      <c r="Z169" s="79"/>
      <c r="AA169" s="79"/>
      <c r="AB169" s="227"/>
      <c r="AC169" s="92"/>
      <c r="AD169" s="79"/>
      <c r="AE169" s="79"/>
      <c r="AF169" s="79"/>
      <c r="AG169" s="79"/>
      <c r="AH169" s="79"/>
      <c r="AI169" s="79"/>
      <c r="AJ169" s="79"/>
      <c r="AK169" s="79"/>
      <c r="AL169" s="79"/>
      <c r="AM169" s="79"/>
      <c r="AN169" s="79"/>
      <c r="AO169" s="79"/>
      <c r="AP169" s="79"/>
      <c r="AQ169" s="79"/>
      <c r="AR169" s="79"/>
      <c r="AS169" s="231"/>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hidden="1" outlineLevel="1" x14ac:dyDescent="0.4">
      <c r="A170" s="30" t="str">
        <f t="shared" si="39"/>
        <v>lt003_entitycntrprty_emssns_scp3</v>
      </c>
      <c r="B170" s="142" t="s">
        <v>26</v>
      </c>
      <c r="C170" s="138" t="s">
        <v>26</v>
      </c>
      <c r="D170" s="253" t="s">
        <v>40</v>
      </c>
      <c r="E170" s="257" t="s">
        <v>336</v>
      </c>
      <c r="F170" s="257"/>
      <c r="G170" s="257" t="s">
        <v>356</v>
      </c>
      <c r="H170" s="255" t="str">
        <f>VLOOKUP(A170,'2. Status Detalhe Campos'!$A$7:$G$574,7,0)</f>
        <v>3. Pendente de outros desenvolvimentos</v>
      </c>
      <c r="I170" s="229" t="s">
        <v>38</v>
      </c>
      <c r="J170" s="153">
        <v>45621</v>
      </c>
      <c r="K170" s="153">
        <v>45596</v>
      </c>
      <c r="L170" s="280">
        <f t="array" ref="L170">MIN(IF(V170:CH170&gt;0,$V$16:$CH$16))</f>
        <v>45629</v>
      </c>
      <c r="M170" s="279">
        <f t="array" ref="M170">MAX(IF(V170:CH170&gt;0,$V$16:$CH$16))</f>
        <v>45629</v>
      </c>
      <c r="N170" s="277">
        <f>VLOOKUP(H170,Auxiliar!$B$16:$E$24,4,0)</f>
        <v>0</v>
      </c>
      <c r="O170" s="277">
        <f t="shared" ca="1" si="38"/>
        <v>0</v>
      </c>
      <c r="P170" s="276">
        <f t="shared" ca="1" si="34"/>
        <v>0</v>
      </c>
      <c r="Q170" s="287" t="s">
        <v>38</v>
      </c>
      <c r="R170" s="230"/>
      <c r="S170" s="224">
        <v>4.0999999999999996</v>
      </c>
      <c r="T170" s="224">
        <f t="shared" ref="T170:T234" si="40">ROUND(S170/8,1)</f>
        <v>0.5</v>
      </c>
      <c r="U170" s="224">
        <f>SUM(V170:CH170)-T170</f>
        <v>0</v>
      </c>
      <c r="V170" s="79"/>
      <c r="W170" s="79"/>
      <c r="X170" s="79"/>
      <c r="Y170" s="79"/>
      <c r="Z170" s="79"/>
      <c r="AA170" s="79"/>
      <c r="AB170" s="227"/>
      <c r="AC170" s="92"/>
      <c r="AD170" s="79"/>
      <c r="AE170" s="79"/>
      <c r="AF170" s="79"/>
      <c r="AG170" s="79"/>
      <c r="AH170" s="79"/>
      <c r="AI170" s="79"/>
      <c r="AJ170" s="79"/>
      <c r="AK170" s="79"/>
      <c r="AL170" s="79"/>
      <c r="AM170" s="79"/>
      <c r="AN170" s="79"/>
      <c r="AO170" s="79"/>
      <c r="AP170" s="79"/>
      <c r="AQ170" s="79"/>
      <c r="AR170" s="79"/>
      <c r="AS170" s="231"/>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ollapsed="1" x14ac:dyDescent="0.4">
      <c r="A171" s="30"/>
      <c r="B171" s="142" t="s">
        <v>26</v>
      </c>
      <c r="C171" s="138" t="s">
        <v>26</v>
      </c>
      <c r="D171" s="134"/>
      <c r="E171" s="263" t="s">
        <v>336</v>
      </c>
      <c r="F171" s="260" t="s">
        <v>2012</v>
      </c>
      <c r="G171" s="261">
        <f>COUNTA(G172)</f>
        <v>1</v>
      </c>
      <c r="H171" s="136"/>
      <c r="I171" s="259">
        <f>MAX(I172)</f>
        <v>45590</v>
      </c>
      <c r="J171" s="258">
        <f>MIN(J172)</f>
        <v>45624</v>
      </c>
      <c r="K171" s="229"/>
      <c r="L171" s="258">
        <f>MIN(L172)</f>
        <v>45631</v>
      </c>
      <c r="M171" s="259">
        <f>MAX(M172)</f>
        <v>45631</v>
      </c>
      <c r="N171" s="282">
        <f>N172</f>
        <v>0</v>
      </c>
      <c r="O171" s="282">
        <f ca="1">O172</f>
        <v>0</v>
      </c>
      <c r="P171" s="276">
        <f t="shared" ca="1" si="34"/>
        <v>0</v>
      </c>
      <c r="Q171" s="287" t="s">
        <v>38</v>
      </c>
      <c r="R171" s="230"/>
      <c r="S171" s="224"/>
      <c r="T171" s="224"/>
      <c r="U171" s="224"/>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1"/>
      <c r="AW171" s="79"/>
      <c r="AX171" s="79"/>
      <c r="AY171" s="79"/>
      <c r="AZ171" s="79"/>
      <c r="BA171" s="79"/>
      <c r="BB171" s="266"/>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hidden="1" outlineLevel="1" x14ac:dyDescent="0.4">
      <c r="A172" s="30" t="str">
        <f t="shared" si="39"/>
        <v>lt003_entityttl_lblty</v>
      </c>
      <c r="B172" s="142" t="s">
        <v>26</v>
      </c>
      <c r="C172" s="138" t="s">
        <v>26</v>
      </c>
      <c r="D172" s="253" t="s">
        <v>40</v>
      </c>
      <c r="E172" s="257" t="s">
        <v>336</v>
      </c>
      <c r="F172" s="257"/>
      <c r="G172" s="257" t="s">
        <v>362</v>
      </c>
      <c r="H172" s="255" t="str">
        <f>VLOOKUP(A172,'2. Status Detalhe Campos'!$A$7:$G$574,7,0)</f>
        <v>6. Em implementação (re-especificação)</v>
      </c>
      <c r="I172" s="153">
        <v>45590</v>
      </c>
      <c r="J172" s="235">
        <v>45624</v>
      </c>
      <c r="K172" s="229"/>
      <c r="L172" s="280">
        <f t="array" ref="L172">MIN(IF(V172:CH172&gt;0,$V$16:$CH$16))</f>
        <v>45631</v>
      </c>
      <c r="M172" s="279">
        <f t="array" ref="M172">MAX(IF(V172:CH172&gt;0,$V$16:$CH$16))</f>
        <v>45631</v>
      </c>
      <c r="N172" s="277">
        <f>VLOOKUP(H172,Auxiliar!$B$16:$E$24,4,0)</f>
        <v>0</v>
      </c>
      <c r="O172" s="277">
        <f t="shared" ref="O172" ca="1" si="41">IF(TODAY()&lt;=L172,0,MIN((TODAY()-L172)/(M172-L172+1),100%))</f>
        <v>0</v>
      </c>
      <c r="P172" s="276">
        <f t="shared" ca="1" si="34"/>
        <v>0</v>
      </c>
      <c r="Q172" s="287" t="s">
        <v>38</v>
      </c>
      <c r="R172" s="230"/>
      <c r="S172" s="224">
        <v>4.0999999999999996</v>
      </c>
      <c r="T172" s="224">
        <f t="shared" si="40"/>
        <v>0.5</v>
      </c>
      <c r="U172" s="224">
        <f>SUM(V172:CH172)-T172</f>
        <v>0</v>
      </c>
      <c r="V172" s="79"/>
      <c r="W172" s="79"/>
      <c r="X172" s="237"/>
      <c r="Y172" s="79"/>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1"/>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ollapsed="1" x14ac:dyDescent="0.4">
      <c r="A173" s="30"/>
      <c r="B173" s="142" t="s">
        <v>26</v>
      </c>
      <c r="C173" s="138" t="s">
        <v>26</v>
      </c>
      <c r="D173" s="134"/>
      <c r="E173" s="263" t="s">
        <v>336</v>
      </c>
      <c r="F173" s="260" t="s">
        <v>2024</v>
      </c>
      <c r="G173" s="261">
        <f>COUNTA(G174)</f>
        <v>1</v>
      </c>
      <c r="H173" s="136"/>
      <c r="I173" s="264">
        <f>MAX(I174)</f>
        <v>45603</v>
      </c>
      <c r="J173" s="238"/>
      <c r="K173" s="239"/>
      <c r="L173" s="258">
        <f>MIN(L174)</f>
        <v>45663</v>
      </c>
      <c r="M173" s="259">
        <f>MAX(M174)</f>
        <v>45663</v>
      </c>
      <c r="N173" s="282">
        <f>N174</f>
        <v>0</v>
      </c>
      <c r="O173" s="282">
        <f ca="1">O174</f>
        <v>0</v>
      </c>
      <c r="P173" s="276">
        <f t="shared" ca="1" si="34"/>
        <v>0</v>
      </c>
      <c r="Q173" s="287" t="s">
        <v>2028</v>
      </c>
      <c r="R173" s="230"/>
      <c r="S173" s="224"/>
      <c r="T173" s="224"/>
      <c r="U173" s="224"/>
      <c r="V173" s="79"/>
      <c r="W173" s="79"/>
      <c r="X173" s="79"/>
      <c r="Y173" s="79"/>
      <c r="Z173" s="79"/>
      <c r="AA173" s="79"/>
      <c r="AB173" s="79"/>
      <c r="AC173" s="92"/>
      <c r="AD173" s="79"/>
      <c r="AE173" s="79"/>
      <c r="AF173" s="79"/>
      <c r="AG173" s="237"/>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6"/>
      <c r="BY173" s="79"/>
      <c r="BZ173" s="79"/>
      <c r="CA173" s="79"/>
      <c r="CB173" s="79"/>
      <c r="CC173" s="79"/>
      <c r="CD173" s="79"/>
      <c r="CE173" s="79"/>
      <c r="CF173" s="79"/>
      <c r="CG173" s="79"/>
      <c r="CH173" s="79"/>
    </row>
    <row r="174" spans="1:86" ht="16.2" hidden="1" outlineLevel="1" x14ac:dyDescent="0.4">
      <c r="A174" s="30" t="str">
        <f>E174&amp;G174</f>
        <v>lt003_entityisin</v>
      </c>
      <c r="B174" s="142" t="s">
        <v>26</v>
      </c>
      <c r="C174" s="138" t="s">
        <v>26</v>
      </c>
      <c r="D174" s="253" t="s">
        <v>40</v>
      </c>
      <c r="E174" s="257" t="s">
        <v>336</v>
      </c>
      <c r="F174" s="257"/>
      <c r="G174" s="257" t="s">
        <v>239</v>
      </c>
      <c r="H174" s="255" t="str">
        <f>VLOOKUP(A174,'2. Status Detalhe Campos'!$A$7:$G$574,7,0)</f>
        <v>6. Em implementação (re-especificação)</v>
      </c>
      <c r="I174" s="240">
        <v>45603</v>
      </c>
      <c r="J174" s="238" t="s">
        <v>1962</v>
      </c>
      <c r="K174" s="229"/>
      <c r="L174" s="280">
        <f t="array" ref="L174">MIN(IF(V174:CH174&gt;0,$V$16:$CH$16))</f>
        <v>45663</v>
      </c>
      <c r="M174" s="279">
        <f t="array" ref="M174">MAX(IF(V174:CH174&gt;0,$V$16:$CH$16))</f>
        <v>45663</v>
      </c>
      <c r="N174" s="277">
        <f>VLOOKUP(H174,Auxiliar!$B$16:$E$24,4,0)</f>
        <v>0</v>
      </c>
      <c r="O174" s="277">
        <f t="shared" ref="O174" ca="1" si="42">IF(TODAY()&lt;=L174,0,MIN((TODAY()-L174)/(M174-L174+1),100%))</f>
        <v>0</v>
      </c>
      <c r="P174" s="276">
        <f t="shared" ca="1" si="34"/>
        <v>0</v>
      </c>
      <c r="Q174" s="276"/>
      <c r="R174" s="230"/>
      <c r="S174" s="224">
        <v>4.0999999999999996</v>
      </c>
      <c r="T174" s="224">
        <f>ROUND(S174/8,1)</f>
        <v>0.5</v>
      </c>
      <c r="U174" s="224">
        <f>SUM(V174:CH174)-T174</f>
        <v>0</v>
      </c>
      <c r="V174" s="237"/>
      <c r="W174" s="79"/>
      <c r="X174" s="79"/>
      <c r="Y174" s="79"/>
      <c r="Z174" s="79"/>
      <c r="AA174" s="79"/>
      <c r="AB174" s="79"/>
      <c r="AC174" s="92"/>
      <c r="AD174" s="79"/>
      <c r="AE174" s="79"/>
      <c r="AF174" s="79"/>
      <c r="AG174" s="237"/>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ollapsed="1" x14ac:dyDescent="0.4">
      <c r="A175" s="30"/>
      <c r="B175" s="142" t="s">
        <v>26</v>
      </c>
      <c r="C175" s="138" t="s">
        <v>26</v>
      </c>
      <c r="D175" s="134"/>
      <c r="E175" s="263" t="s">
        <v>369</v>
      </c>
      <c r="F175" s="260" t="s">
        <v>1989</v>
      </c>
      <c r="G175" s="261">
        <f>COUNTA(G176:G180)</f>
        <v>5</v>
      </c>
      <c r="H175" s="136"/>
      <c r="I175" s="259" t="s">
        <v>38</v>
      </c>
      <c r="J175" s="258">
        <f>MIN(J176:J180)</f>
        <v>45596</v>
      </c>
      <c r="K175" s="258">
        <f>MIN(K176:K180)</f>
        <v>45596</v>
      </c>
      <c r="L175" s="258">
        <f>MIN(L176:L180)</f>
        <v>45602</v>
      </c>
      <c r="M175" s="259">
        <f>MAX(M176:M180)</f>
        <v>45629</v>
      </c>
      <c r="N175" s="282">
        <f>SUMPRODUCT(N176:N180,T176:T180)/SUM(T176:T180)</f>
        <v>0.15</v>
      </c>
      <c r="O175" s="282">
        <f ca="1">SUMPRODUCT(O176:O180,T176:T180)/SUM(T176:T180)</f>
        <v>0.6</v>
      </c>
      <c r="P175" s="276">
        <f t="shared" ca="1" si="34"/>
        <v>-0.44999999999999996</v>
      </c>
      <c r="Q175" s="287" t="s">
        <v>2023</v>
      </c>
      <c r="R175" s="230"/>
      <c r="S175" s="224"/>
      <c r="T175" s="224"/>
      <c r="U175" s="224"/>
      <c r="V175" s="79"/>
      <c r="W175" s="79"/>
      <c r="X175" s="79"/>
      <c r="Y175" s="79"/>
      <c r="Z175" s="79"/>
      <c r="AA175" s="79"/>
      <c r="AB175" s="227"/>
      <c r="AC175" s="92"/>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266"/>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hidden="1" outlineLevel="1" x14ac:dyDescent="0.4">
      <c r="A176" s="30" t="str">
        <f t="shared" ref="A176:A198" si="43">E176&amp;G176</f>
        <v>lt004_protectionep_scr</v>
      </c>
      <c r="B176" s="142" t="s">
        <v>26</v>
      </c>
      <c r="C176" s="138" t="s">
        <v>26</v>
      </c>
      <c r="D176" s="253" t="s">
        <v>40</v>
      </c>
      <c r="E176" s="257" t="s">
        <v>369</v>
      </c>
      <c r="F176" s="257"/>
      <c r="G176" s="267" t="s">
        <v>371</v>
      </c>
      <c r="H176" s="255" t="str">
        <f>VLOOKUP(A176,'2. Status Detalhe Campos'!$A$7:$G$574,7,0)</f>
        <v>2.1 Em Teste</v>
      </c>
      <c r="I176" s="229" t="s">
        <v>38</v>
      </c>
      <c r="J176" s="153">
        <v>45596</v>
      </c>
      <c r="K176" s="153">
        <v>45596</v>
      </c>
      <c r="L176" s="280">
        <f t="array" ref="L176">MIN(IF(V176:CH176&gt;0,$V$16:$CH$16))</f>
        <v>45602</v>
      </c>
      <c r="M176" s="279">
        <f t="array" ref="M176">MAX(IF(V176:CH176&gt;0,$V$16:$CH$16))</f>
        <v>45602</v>
      </c>
      <c r="N176" s="277">
        <f>VLOOKUP(H176,Auxiliar!$B$16:$E$24,4,0)</f>
        <v>0.25</v>
      </c>
      <c r="O176" s="277">
        <f t="shared" ref="O176:O180" ca="1" si="44">IF(TODAY()&lt;=L176,0,MIN((TODAY()-L176)/(M176-L176+1),100%))</f>
        <v>1</v>
      </c>
      <c r="P176" s="276">
        <f t="shared" ca="1" si="34"/>
        <v>-0.75</v>
      </c>
      <c r="Q176" s="276"/>
      <c r="R176" s="230" t="s">
        <v>1963</v>
      </c>
      <c r="S176" s="224">
        <v>4.0999999999999996</v>
      </c>
      <c r="T176" s="224">
        <f t="shared" si="40"/>
        <v>0.5</v>
      </c>
      <c r="U176" s="224">
        <f>SUM(V176:CH176)-T176</f>
        <v>0</v>
      </c>
      <c r="V176" s="79"/>
      <c r="W176" s="79"/>
      <c r="X176" s="79"/>
      <c r="Y176" s="79"/>
      <c r="Z176" s="79"/>
      <c r="AA176" s="79"/>
      <c r="AB176" s="227"/>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hidden="1" outlineLevel="1" x14ac:dyDescent="0.4">
      <c r="A177" s="30" t="str">
        <f t="shared" si="43"/>
        <v>lt004_protectiontyp_epc_lbl</v>
      </c>
      <c r="B177" s="142" t="s">
        <v>26</v>
      </c>
      <c r="C177" s="138" t="s">
        <v>26</v>
      </c>
      <c r="D177" s="253" t="s">
        <v>40</v>
      </c>
      <c r="E177" s="257" t="s">
        <v>369</v>
      </c>
      <c r="F177" s="257"/>
      <c r="G177" s="267" t="s">
        <v>372</v>
      </c>
      <c r="H177" s="255" t="str">
        <f>VLOOKUP(A177,'2. Status Detalhe Campos'!$A$7:$G$574,7,0)</f>
        <v>2.1 Em Teste</v>
      </c>
      <c r="I177" s="229" t="s">
        <v>38</v>
      </c>
      <c r="J177" s="153">
        <v>45596</v>
      </c>
      <c r="K177" s="153">
        <v>45596</v>
      </c>
      <c r="L177" s="280">
        <f t="array" ref="L177">MIN(IF(V177:CH177&gt;0,$V$16:$CH$16))</f>
        <v>45602</v>
      </c>
      <c r="M177" s="279">
        <f t="array" ref="M177">MAX(IF(V177:CH177&gt;0,$V$16:$CH$16))</f>
        <v>45602</v>
      </c>
      <c r="N177" s="277">
        <f>VLOOKUP(H177,Auxiliar!$B$16:$E$24,4,0)</f>
        <v>0.25</v>
      </c>
      <c r="O177" s="277">
        <f t="shared" ca="1" si="44"/>
        <v>1</v>
      </c>
      <c r="P177" s="276">
        <f t="shared" ca="1" si="34"/>
        <v>-0.75</v>
      </c>
      <c r="Q177" s="276"/>
      <c r="R177" s="230" t="s">
        <v>1963</v>
      </c>
      <c r="S177" s="224">
        <v>4.0999999999999996</v>
      </c>
      <c r="T177" s="224">
        <f t="shared" si="40"/>
        <v>0.5</v>
      </c>
      <c r="U177" s="224">
        <f>SUM(V177:CH177)-T177</f>
        <v>0</v>
      </c>
      <c r="V177" s="79"/>
      <c r="W177" s="79"/>
      <c r="X177" s="79"/>
      <c r="Y177" s="79"/>
      <c r="Z177" s="79"/>
      <c r="AA177" s="79"/>
      <c r="AB177" s="227"/>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hidden="1" outlineLevel="1" x14ac:dyDescent="0.4">
      <c r="A178" s="30" t="str">
        <f t="shared" si="43"/>
        <v>lt004_protectionepc_lbl</v>
      </c>
      <c r="B178" s="142" t="s">
        <v>26</v>
      </c>
      <c r="C178" s="138" t="s">
        <v>26</v>
      </c>
      <c r="D178" s="253" t="s">
        <v>40</v>
      </c>
      <c r="E178" s="257" t="s">
        <v>369</v>
      </c>
      <c r="F178" s="257"/>
      <c r="G178" s="267" t="s">
        <v>373</v>
      </c>
      <c r="H178" s="255" t="str">
        <f>VLOOKUP(A178,'2. Status Detalhe Campos'!$A$7:$G$574,7,0)</f>
        <v>2.1 Em Teste</v>
      </c>
      <c r="I178" s="229" t="s">
        <v>38</v>
      </c>
      <c r="J178" s="153">
        <v>45596</v>
      </c>
      <c r="K178" s="153">
        <v>45596</v>
      </c>
      <c r="L178" s="280">
        <f t="array" ref="L178">MIN(IF(V178:CH178&gt;0,$V$16:$CH$16))</f>
        <v>45603</v>
      </c>
      <c r="M178" s="279">
        <f t="array" ref="M178">MAX(IF(V178:CH178&gt;0,$V$16:$CH$16))</f>
        <v>45603</v>
      </c>
      <c r="N178" s="277">
        <f>VLOOKUP(H178,Auxiliar!$B$16:$E$24,4,0)</f>
        <v>0.25</v>
      </c>
      <c r="O178" s="277">
        <f t="shared" ca="1" si="44"/>
        <v>1</v>
      </c>
      <c r="P178" s="276">
        <f t="shared" ca="1" si="34"/>
        <v>-0.75</v>
      </c>
      <c r="Q178" s="276"/>
      <c r="R178" s="230" t="s">
        <v>1963</v>
      </c>
      <c r="S178" s="224">
        <v>4.0999999999999996</v>
      </c>
      <c r="T178" s="224">
        <f t="shared" si="40"/>
        <v>0.5</v>
      </c>
      <c r="U178" s="224">
        <f>SUM(V178:CH178)-T178</f>
        <v>0</v>
      </c>
      <c r="V178" s="79"/>
      <c r="W178" s="79"/>
      <c r="X178" s="79"/>
      <c r="Y178" s="79"/>
      <c r="Z178" s="79"/>
      <c r="AA178" s="79"/>
      <c r="AB178" s="227"/>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hidden="1" outlineLevel="1" x14ac:dyDescent="0.4">
      <c r="A179" s="30" t="str">
        <f t="shared" si="43"/>
        <v>lt004_protectionflg_act_physcl_rsk</v>
      </c>
      <c r="B179" s="142" t="s">
        <v>26</v>
      </c>
      <c r="C179" s="138" t="s">
        <v>26</v>
      </c>
      <c r="D179" s="253" t="s">
        <v>40</v>
      </c>
      <c r="E179" s="257" t="s">
        <v>369</v>
      </c>
      <c r="F179" s="257"/>
      <c r="G179" s="267" t="s">
        <v>358</v>
      </c>
      <c r="H179" s="255" t="str">
        <f>VLOOKUP(A179,'2. Status Detalhe Campos'!$A$7:$G$574,7,0)</f>
        <v>3. Pendente de outros desenvolvimentos</v>
      </c>
      <c r="I179" s="229" t="s">
        <v>38</v>
      </c>
      <c r="J179" s="153">
        <v>45596</v>
      </c>
      <c r="K179" s="153">
        <v>45596</v>
      </c>
      <c r="L179" s="280">
        <f t="array" ref="L179">MIN(IF(V179:CH179&gt;0,$V$16:$CH$16))</f>
        <v>45629</v>
      </c>
      <c r="M179" s="279">
        <f t="array" ref="M179">MAX(IF(V179:CH179&gt;0,$V$16:$CH$16))</f>
        <v>45629</v>
      </c>
      <c r="N179" s="277">
        <f>VLOOKUP(H179,Auxiliar!$B$16:$E$24,4,0)</f>
        <v>0</v>
      </c>
      <c r="O179" s="277">
        <f t="shared" ca="1" si="44"/>
        <v>0</v>
      </c>
      <c r="P179" s="276">
        <f t="shared" ca="1" si="34"/>
        <v>0</v>
      </c>
      <c r="Q179" s="276"/>
      <c r="R179" s="230"/>
      <c r="S179" s="224">
        <v>4.0999999999999996</v>
      </c>
      <c r="T179" s="224">
        <f t="shared" si="40"/>
        <v>0.5</v>
      </c>
      <c r="U179" s="224">
        <f>SUM(V179:CH179)-T179</f>
        <v>0</v>
      </c>
      <c r="V179" s="79"/>
      <c r="W179" s="79"/>
      <c r="X179" s="79"/>
      <c r="Y179" s="79"/>
      <c r="Z179" s="79"/>
      <c r="AA179" s="79"/>
      <c r="AB179" s="227"/>
      <c r="AC179" s="92"/>
      <c r="AD179" s="79"/>
      <c r="AE179" s="79"/>
      <c r="AF179" s="79"/>
      <c r="AG179" s="79"/>
      <c r="AH179" s="79"/>
      <c r="AI179" s="79"/>
      <c r="AJ179" s="79"/>
      <c r="AK179" s="79"/>
      <c r="AL179" s="79"/>
      <c r="AM179" s="79"/>
      <c r="AN179" s="79"/>
      <c r="AO179" s="79"/>
      <c r="AP179" s="79"/>
      <c r="AQ179" s="79"/>
      <c r="AR179" s="79"/>
      <c r="AS179" s="79"/>
      <c r="AT179" s="79"/>
      <c r="AU179" s="79"/>
      <c r="AV179" s="231"/>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hidden="1" outlineLevel="1" x14ac:dyDescent="0.4">
      <c r="A180" s="30" t="str">
        <f t="shared" si="43"/>
        <v>lt004_protectionflg_chrnc_physcl_rsk</v>
      </c>
      <c r="B180" s="142" t="s">
        <v>26</v>
      </c>
      <c r="C180" s="138" t="s">
        <v>26</v>
      </c>
      <c r="D180" s="253" t="s">
        <v>40</v>
      </c>
      <c r="E180" s="257" t="s">
        <v>369</v>
      </c>
      <c r="F180" s="257"/>
      <c r="G180" s="267" t="s">
        <v>359</v>
      </c>
      <c r="H180" s="255" t="str">
        <f>VLOOKUP(A180,'2. Status Detalhe Campos'!$A$7:$G$574,7,0)</f>
        <v>3. Pendente de outros desenvolvimentos</v>
      </c>
      <c r="I180" s="229" t="s">
        <v>38</v>
      </c>
      <c r="J180" s="153">
        <v>45596</v>
      </c>
      <c r="K180" s="153">
        <v>45596</v>
      </c>
      <c r="L180" s="280">
        <f t="array" ref="L180">MIN(IF(V180:CH180&gt;0,$V$16:$CH$16))</f>
        <v>45629</v>
      </c>
      <c r="M180" s="279">
        <f t="array" ref="M180">MAX(IF(V180:CH180&gt;0,$V$16:$CH$16))</f>
        <v>45629</v>
      </c>
      <c r="N180" s="277">
        <f>VLOOKUP(H180,Auxiliar!$B$16:$E$24,4,0)</f>
        <v>0</v>
      </c>
      <c r="O180" s="277">
        <f t="shared" ca="1" si="44"/>
        <v>0</v>
      </c>
      <c r="P180" s="276">
        <f t="shared" ca="1" si="34"/>
        <v>0</v>
      </c>
      <c r="Q180" s="276"/>
      <c r="R180" s="230"/>
      <c r="S180" s="224">
        <v>4.0999999999999996</v>
      </c>
      <c r="T180" s="224">
        <f t="shared" si="40"/>
        <v>0.5</v>
      </c>
      <c r="U180" s="224">
        <f>SUM(V180:CH180)-T180</f>
        <v>0</v>
      </c>
      <c r="V180" s="79"/>
      <c r="W180" s="79"/>
      <c r="X180" s="79"/>
      <c r="Y180" s="79"/>
      <c r="Z180" s="79"/>
      <c r="AA180" s="79"/>
      <c r="AB180" s="227"/>
      <c r="AC180" s="92"/>
      <c r="AD180" s="79"/>
      <c r="AE180" s="79"/>
      <c r="AF180" s="79"/>
      <c r="AG180" s="79"/>
      <c r="AH180" s="79"/>
      <c r="AI180" s="79"/>
      <c r="AJ180" s="79"/>
      <c r="AK180" s="79"/>
      <c r="AL180" s="79"/>
      <c r="AM180" s="79"/>
      <c r="AN180" s="79"/>
      <c r="AO180" s="79"/>
      <c r="AP180" s="79"/>
      <c r="AQ180" s="79"/>
      <c r="AR180" s="79"/>
      <c r="AS180" s="79"/>
      <c r="AT180" s="79"/>
      <c r="AU180" s="79"/>
      <c r="AV180" s="231"/>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ollapsed="1" x14ac:dyDescent="0.4">
      <c r="A181" s="30"/>
      <c r="B181" s="142" t="s">
        <v>26</v>
      </c>
      <c r="C181" s="138" t="s">
        <v>26</v>
      </c>
      <c r="D181" s="134"/>
      <c r="E181" s="263" t="s">
        <v>369</v>
      </c>
      <c r="F181" s="260" t="s">
        <v>2014</v>
      </c>
      <c r="G181" s="261">
        <f>COUNTA(G182:G186)</f>
        <v>5</v>
      </c>
      <c r="H181" s="136"/>
      <c r="I181" s="264">
        <f>MIN(I182:I186)</f>
        <v>45603</v>
      </c>
      <c r="J181" s="262">
        <f>MIN(J182:J187)</f>
        <v>45596</v>
      </c>
      <c r="K181" s="262">
        <f>MIN(K182:K187)</f>
        <v>45596</v>
      </c>
      <c r="L181" s="259">
        <f>MIN(L182:L187)</f>
        <v>45649</v>
      </c>
      <c r="M181" s="259">
        <f>MAX(M182:M187)</f>
        <v>45649</v>
      </c>
      <c r="N181" s="282">
        <f>SUMPRODUCT(N182:N187,T182:T187)/SUM(T182:T187)</f>
        <v>0</v>
      </c>
      <c r="O181" s="282">
        <f ca="1">SUMPRODUCT(O182:O187,T182:T187)/SUM(T182:T187)</f>
        <v>0</v>
      </c>
      <c r="P181" s="276">
        <f t="shared" ca="1" si="34"/>
        <v>0</v>
      </c>
      <c r="Q181" s="287" t="s">
        <v>2029</v>
      </c>
      <c r="R181" s="230"/>
      <c r="S181" s="224"/>
      <c r="T181" s="224"/>
      <c r="U181" s="224"/>
      <c r="V181" s="79"/>
      <c r="W181" s="79"/>
      <c r="X181" s="79"/>
      <c r="Y181" s="79"/>
      <c r="Z181" s="79"/>
      <c r="AA181" s="79"/>
      <c r="AB181" s="227"/>
      <c r="AC181" s="92"/>
      <c r="AD181" s="79"/>
      <c r="AE181" s="79"/>
      <c r="AF181" s="79"/>
      <c r="AG181" s="237"/>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6"/>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hidden="1" outlineLevel="1" x14ac:dyDescent="0.4">
      <c r="A182" s="30" t="str">
        <f t="shared" ref="A182:A187" si="45">E182&amp;G182</f>
        <v>lt004_protectionemssns_scp1_prtctn</v>
      </c>
      <c r="B182" s="142" t="s">
        <v>26</v>
      </c>
      <c r="C182" s="138" t="s">
        <v>26</v>
      </c>
      <c r="D182" s="253" t="s">
        <v>40</v>
      </c>
      <c r="E182" s="257" t="s">
        <v>369</v>
      </c>
      <c r="F182" s="257"/>
      <c r="G182" s="267" t="s">
        <v>374</v>
      </c>
      <c r="H182" s="255" t="str">
        <f>VLOOKUP(A182,'2. Status Detalhe Campos'!$A$7:$G$574,7,0)</f>
        <v>6. Em implementação (re-especificação)</v>
      </c>
      <c r="I182" s="265">
        <v>45603</v>
      </c>
      <c r="J182" s="238">
        <v>45596</v>
      </c>
      <c r="K182" s="238">
        <v>45596</v>
      </c>
      <c r="L182" s="280">
        <f t="array" ref="L182">MIN(IF(V182:CH182&gt;0,$V$16:$CH$16))</f>
        <v>45649</v>
      </c>
      <c r="M182" s="279">
        <f t="array" ref="M182">MAX(IF(V182:CH182&gt;0,$V$16:$CH$16))</f>
        <v>45649</v>
      </c>
      <c r="N182" s="277">
        <f>VLOOKUP(H182,Auxiliar!$B$16:$E$24,4,0)</f>
        <v>0</v>
      </c>
      <c r="O182" s="277">
        <f t="shared" ref="O182:O187" ca="1" si="46">IF(TODAY()&lt;=L182,0,MIN((TODAY()-L182)/(M182-L182+1),100%))</f>
        <v>0</v>
      </c>
      <c r="P182" s="276">
        <f t="shared" ca="1" si="34"/>
        <v>0</v>
      </c>
      <c r="Q182" s="287" t="s">
        <v>38</v>
      </c>
      <c r="R182" s="230" t="s">
        <v>1964</v>
      </c>
      <c r="S182" s="224">
        <v>4.0999999999999996</v>
      </c>
      <c r="T182" s="224">
        <f t="shared" ref="T182:T187" si="47">ROUND(S182/8,1)</f>
        <v>0.5</v>
      </c>
      <c r="U182" s="224">
        <f t="shared" ref="U182:U187" si="48">SUM(V182:CH182)-T182</f>
        <v>0</v>
      </c>
      <c r="V182" s="79"/>
      <c r="W182" s="79"/>
      <c r="X182" s="79"/>
      <c r="Y182" s="79"/>
      <c r="Z182" s="79"/>
      <c r="AA182" s="79"/>
      <c r="AB182" s="227"/>
      <c r="AC182" s="92"/>
      <c r="AD182" s="79"/>
      <c r="AE182" s="79"/>
      <c r="AF182" s="79"/>
      <c r="AG182" s="237"/>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hidden="1" outlineLevel="1" x14ac:dyDescent="0.4">
      <c r="A183" s="30" t="str">
        <f t="shared" si="45"/>
        <v>lt004_protectionemssns_scp2_prtctn</v>
      </c>
      <c r="B183" s="142" t="s">
        <v>26</v>
      </c>
      <c r="C183" s="138" t="s">
        <v>26</v>
      </c>
      <c r="D183" s="253" t="s">
        <v>40</v>
      </c>
      <c r="E183" s="257" t="s">
        <v>369</v>
      </c>
      <c r="F183" s="257"/>
      <c r="G183" s="267" t="s">
        <v>375</v>
      </c>
      <c r="H183" s="255" t="str">
        <f>VLOOKUP(A183,'2. Status Detalhe Campos'!$A$7:$G$574,7,0)</f>
        <v>6. Em implementação (re-especificação)</v>
      </c>
      <c r="I183" s="265">
        <v>45603</v>
      </c>
      <c r="J183" s="238">
        <v>45596</v>
      </c>
      <c r="K183" s="238">
        <v>45596</v>
      </c>
      <c r="L183" s="280">
        <f t="array" ref="L183">MIN(IF(V183:CH183&gt;0,$V$16:$CH$16))</f>
        <v>45649</v>
      </c>
      <c r="M183" s="279">
        <f t="array" ref="M183">MAX(IF(V183:CH183&gt;0,$V$16:$CH$16))</f>
        <v>45649</v>
      </c>
      <c r="N183" s="277">
        <f>VLOOKUP(H183,Auxiliar!$B$16:$E$24,4,0)</f>
        <v>0</v>
      </c>
      <c r="O183" s="277">
        <f t="shared" ca="1" si="46"/>
        <v>0</v>
      </c>
      <c r="P183" s="276">
        <f t="shared" ca="1" si="34"/>
        <v>0</v>
      </c>
      <c r="Q183" s="287" t="s">
        <v>38</v>
      </c>
      <c r="R183" s="230" t="s">
        <v>1964</v>
      </c>
      <c r="S183" s="224">
        <v>4.0999999999999996</v>
      </c>
      <c r="T183" s="224">
        <f t="shared" si="47"/>
        <v>0.5</v>
      </c>
      <c r="U183" s="224">
        <f t="shared" si="48"/>
        <v>0</v>
      </c>
      <c r="V183" s="79"/>
      <c r="W183" s="79"/>
      <c r="X183" s="79"/>
      <c r="Y183" s="79"/>
      <c r="Z183" s="79"/>
      <c r="AA183" s="79"/>
      <c r="AB183" s="227"/>
      <c r="AC183" s="92"/>
      <c r="AD183" s="79"/>
      <c r="AE183" s="79"/>
      <c r="AF183" s="79"/>
      <c r="AG183" s="237"/>
      <c r="AH183" s="79"/>
      <c r="AI183" s="79"/>
      <c r="AJ183" s="79"/>
      <c r="AK183" s="79"/>
      <c r="AL183" s="79"/>
      <c r="AM183" s="79"/>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hidden="1" outlineLevel="1" x14ac:dyDescent="0.4">
      <c r="A184" s="30" t="str">
        <f t="shared" si="45"/>
        <v>lt004_protectionemssns_scp3_prtctn</v>
      </c>
      <c r="B184" s="142" t="s">
        <v>26</v>
      </c>
      <c r="C184" s="138" t="s">
        <v>26</v>
      </c>
      <c r="D184" s="253" t="s">
        <v>40</v>
      </c>
      <c r="E184" s="257" t="s">
        <v>369</v>
      </c>
      <c r="F184" s="257"/>
      <c r="G184" s="267" t="s">
        <v>376</v>
      </c>
      <c r="H184" s="255" t="str">
        <f>VLOOKUP(A184,'2. Status Detalhe Campos'!$A$7:$G$574,7,0)</f>
        <v>6. Em implementação (re-especificação)</v>
      </c>
      <c r="I184" s="265">
        <v>45603</v>
      </c>
      <c r="J184" s="238">
        <v>45596</v>
      </c>
      <c r="K184" s="238">
        <v>45596</v>
      </c>
      <c r="L184" s="280">
        <f t="array" ref="L184">MIN(IF(V184:CH184&gt;0,$V$16:$CH$16))</f>
        <v>45649</v>
      </c>
      <c r="M184" s="279">
        <f t="array" ref="M184">MAX(IF(V184:CH184&gt;0,$V$16:$CH$16))</f>
        <v>45649</v>
      </c>
      <c r="N184" s="277">
        <f>VLOOKUP(H184,Auxiliar!$B$16:$E$24,4,0)</f>
        <v>0</v>
      </c>
      <c r="O184" s="277">
        <f t="shared" ca="1" si="46"/>
        <v>0</v>
      </c>
      <c r="P184" s="276">
        <f t="shared" ca="1" si="34"/>
        <v>0</v>
      </c>
      <c r="Q184" s="287" t="s">
        <v>38</v>
      </c>
      <c r="R184" s="230" t="s">
        <v>1964</v>
      </c>
      <c r="S184" s="224">
        <v>4.0999999999999996</v>
      </c>
      <c r="T184" s="224">
        <f t="shared" si="47"/>
        <v>0.5</v>
      </c>
      <c r="U184" s="224">
        <f t="shared" si="48"/>
        <v>0</v>
      </c>
      <c r="V184" s="79"/>
      <c r="W184" s="79"/>
      <c r="X184" s="79"/>
      <c r="Y184" s="79"/>
      <c r="Z184" s="79"/>
      <c r="AA184" s="79"/>
      <c r="AB184" s="227"/>
      <c r="AC184" s="92"/>
      <c r="AD184" s="79"/>
      <c r="AE184" s="79"/>
      <c r="AF184" s="79"/>
      <c r="AG184" s="237"/>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hidden="1" outlineLevel="1" x14ac:dyDescent="0.4">
      <c r="A185" s="30" t="str">
        <f t="shared" si="45"/>
        <v>lt004_protectionmthd_usd_prtctn_scp_1</v>
      </c>
      <c r="B185" s="142" t="s">
        <v>26</v>
      </c>
      <c r="C185" s="138" t="s">
        <v>26</v>
      </c>
      <c r="D185" s="253" t="s">
        <v>40</v>
      </c>
      <c r="E185" s="257" t="s">
        <v>369</v>
      </c>
      <c r="F185" s="257"/>
      <c r="G185" s="267" t="s">
        <v>377</v>
      </c>
      <c r="H185" s="255" t="str">
        <f>VLOOKUP(A185,'2. Status Detalhe Campos'!$A$7:$G$574,7,0)</f>
        <v>6. Em implementação (re-especificação)</v>
      </c>
      <c r="I185" s="265">
        <v>45603</v>
      </c>
      <c r="J185" s="238">
        <v>45596</v>
      </c>
      <c r="K185" s="238">
        <v>45596</v>
      </c>
      <c r="L185" s="280">
        <f t="array" ref="L185">MIN(IF(V185:CH185&gt;0,$V$16:$CH$16))</f>
        <v>45649</v>
      </c>
      <c r="M185" s="279">
        <f t="array" ref="M185">MAX(IF(V185:CH185&gt;0,$V$16:$CH$16))</f>
        <v>45649</v>
      </c>
      <c r="N185" s="277">
        <f>VLOOKUP(H185,Auxiliar!$B$16:$E$24,4,0)</f>
        <v>0</v>
      </c>
      <c r="O185" s="277">
        <f t="shared" ca="1" si="46"/>
        <v>0</v>
      </c>
      <c r="P185" s="276">
        <f t="shared" ca="1" si="34"/>
        <v>0</v>
      </c>
      <c r="Q185" s="287" t="s">
        <v>38</v>
      </c>
      <c r="R185" s="230" t="s">
        <v>1964</v>
      </c>
      <c r="S185" s="224">
        <v>4.0999999999999996</v>
      </c>
      <c r="T185" s="224">
        <f t="shared" si="47"/>
        <v>0.5</v>
      </c>
      <c r="U185" s="224">
        <f t="shared" si="48"/>
        <v>0</v>
      </c>
      <c r="V185" s="79"/>
      <c r="W185" s="79"/>
      <c r="X185" s="79"/>
      <c r="Y185" s="79"/>
      <c r="Z185" s="79"/>
      <c r="AA185" s="79"/>
      <c r="AB185" s="227"/>
      <c r="AC185" s="92"/>
      <c r="AD185" s="79"/>
      <c r="AE185" s="79"/>
      <c r="AF185" s="79"/>
      <c r="AG185" s="237"/>
      <c r="AH185" s="79"/>
      <c r="AI185" s="79"/>
      <c r="AJ185" s="79"/>
      <c r="AK185" s="79"/>
      <c r="AL185" s="79"/>
      <c r="AM185" s="79"/>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hidden="1" outlineLevel="1" x14ac:dyDescent="0.4">
      <c r="A186" s="30" t="str">
        <f t="shared" si="45"/>
        <v>lt004_protectionmthd_usd_prtctn_scp_2</v>
      </c>
      <c r="B186" s="142" t="s">
        <v>26</v>
      </c>
      <c r="C186" s="138" t="s">
        <v>26</v>
      </c>
      <c r="D186" s="253" t="s">
        <v>40</v>
      </c>
      <c r="E186" s="257" t="s">
        <v>369</v>
      </c>
      <c r="F186" s="257"/>
      <c r="G186" s="267" t="s">
        <v>378</v>
      </c>
      <c r="H186" s="255" t="str">
        <f>VLOOKUP(A186,'2. Status Detalhe Campos'!$A$7:$G$574,7,0)</f>
        <v>6. Em implementação (re-especificação)</v>
      </c>
      <c r="I186" s="265">
        <v>45603</v>
      </c>
      <c r="J186" s="238">
        <v>45596</v>
      </c>
      <c r="K186" s="238">
        <v>45596</v>
      </c>
      <c r="L186" s="280">
        <f t="array" ref="L186">MIN(IF(V186:CH186&gt;0,$V$16:$CH$16))</f>
        <v>45649</v>
      </c>
      <c r="M186" s="279">
        <f t="array" ref="M186">MAX(IF(V186:CH186&gt;0,$V$16:$CH$16))</f>
        <v>45649</v>
      </c>
      <c r="N186" s="277">
        <f>VLOOKUP(H186,Auxiliar!$B$16:$E$24,4,0)</f>
        <v>0</v>
      </c>
      <c r="O186" s="277">
        <f t="shared" ca="1" si="46"/>
        <v>0</v>
      </c>
      <c r="P186" s="276">
        <f t="shared" ca="1" si="34"/>
        <v>0</v>
      </c>
      <c r="Q186" s="287" t="s">
        <v>38</v>
      </c>
      <c r="R186" s="230" t="s">
        <v>1964</v>
      </c>
      <c r="S186" s="224">
        <v>4.0999999999999996</v>
      </c>
      <c r="T186" s="224">
        <f t="shared" si="47"/>
        <v>0.5</v>
      </c>
      <c r="U186" s="224">
        <f t="shared" si="48"/>
        <v>0</v>
      </c>
      <c r="V186" s="79"/>
      <c r="W186" s="79"/>
      <c r="X186" s="79"/>
      <c r="Y186" s="79"/>
      <c r="Z186" s="79"/>
      <c r="AA186" s="79"/>
      <c r="AB186" s="227"/>
      <c r="AC186" s="92"/>
      <c r="AD186" s="79"/>
      <c r="AE186" s="79"/>
      <c r="AF186" s="79"/>
      <c r="AG186" s="237"/>
      <c r="AH186" s="79"/>
      <c r="AI186" s="79"/>
      <c r="AJ186" s="79"/>
      <c r="AK186" s="79"/>
      <c r="AL186" s="79"/>
      <c r="AM186" s="79"/>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hidden="1" outlineLevel="1" x14ac:dyDescent="0.4">
      <c r="A187" s="30" t="str">
        <f t="shared" si="45"/>
        <v>lt004_protectionmthd_usd_prtctn_scp_3</v>
      </c>
      <c r="B187" s="142" t="s">
        <v>26</v>
      </c>
      <c r="C187" s="138" t="s">
        <v>26</v>
      </c>
      <c r="D187" s="253" t="s">
        <v>40</v>
      </c>
      <c r="E187" s="257" t="s">
        <v>369</v>
      </c>
      <c r="F187" s="257"/>
      <c r="G187" s="267" t="s">
        <v>379</v>
      </c>
      <c r="H187" s="255" t="str">
        <f>VLOOKUP(A187,'2. Status Detalhe Campos'!$A$7:$G$574,7,0)</f>
        <v>6. Em implementação (re-especificação)</v>
      </c>
      <c r="I187" s="265">
        <v>45603</v>
      </c>
      <c r="J187" s="238">
        <v>45596</v>
      </c>
      <c r="K187" s="238">
        <v>45596</v>
      </c>
      <c r="L187" s="280">
        <f t="array" ref="L187">MIN(IF(V187:CH187&gt;0,$V$16:$CH$16))</f>
        <v>45649</v>
      </c>
      <c r="M187" s="279">
        <f t="array" ref="M187">MAX(IF(V187:CH187&gt;0,$V$16:$CH$16))</f>
        <v>45649</v>
      </c>
      <c r="N187" s="277">
        <f>VLOOKUP(H187,Auxiliar!$B$16:$E$24,4,0)</f>
        <v>0</v>
      </c>
      <c r="O187" s="277">
        <f t="shared" ca="1" si="46"/>
        <v>0</v>
      </c>
      <c r="P187" s="276">
        <f t="shared" ca="1" si="34"/>
        <v>0</v>
      </c>
      <c r="Q187" s="287" t="s">
        <v>38</v>
      </c>
      <c r="R187" s="230" t="s">
        <v>1964</v>
      </c>
      <c r="S187" s="224">
        <v>4.0999999999999996</v>
      </c>
      <c r="T187" s="224">
        <f t="shared" si="47"/>
        <v>0.5</v>
      </c>
      <c r="U187" s="224">
        <f t="shared" si="48"/>
        <v>0</v>
      </c>
      <c r="V187" s="79"/>
      <c r="W187" s="79"/>
      <c r="X187" s="79"/>
      <c r="Y187" s="79"/>
      <c r="Z187" s="79"/>
      <c r="AA187" s="79"/>
      <c r="AB187" s="227"/>
      <c r="AC187" s="92"/>
      <c r="AD187" s="79"/>
      <c r="AE187" s="79"/>
      <c r="AF187" s="79"/>
      <c r="AG187" s="237"/>
      <c r="AH187" s="79"/>
      <c r="AI187" s="79"/>
      <c r="AJ187" s="79"/>
      <c r="AK187" s="79"/>
      <c r="AL187" s="79"/>
      <c r="AM187" s="79"/>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ollapsed="1" x14ac:dyDescent="0.4">
      <c r="A188" s="30"/>
      <c r="B188" s="142" t="s">
        <v>26</v>
      </c>
      <c r="C188" s="138" t="s">
        <v>26</v>
      </c>
      <c r="D188" s="134"/>
      <c r="E188" s="263" t="s">
        <v>369</v>
      </c>
      <c r="F188" s="260" t="s">
        <v>2010</v>
      </c>
      <c r="G188" s="261">
        <f>COUNTA(G189:G192)</f>
        <v>4</v>
      </c>
      <c r="H188" s="136"/>
      <c r="I188" s="259">
        <f>MAX(I189:I192)</f>
        <v>45595</v>
      </c>
      <c r="J188" s="258">
        <f>MIN(J189:J192)</f>
        <v>45611</v>
      </c>
      <c r="K188" s="229"/>
      <c r="L188" s="258">
        <f>MIN(L189:L192)</f>
        <v>45614</v>
      </c>
      <c r="M188" s="259">
        <f>MAX(M189:M192)</f>
        <v>45614</v>
      </c>
      <c r="N188" s="282">
        <f>SUMPRODUCT(N189:N192,T189:T192)/SUM(T189:T192)</f>
        <v>0</v>
      </c>
      <c r="O188" s="282">
        <f ca="1">SUMPRODUCT(O189:O192,T189:T192)/SUM(T189:T192)</f>
        <v>0</v>
      </c>
      <c r="P188" s="276">
        <f t="shared" ca="1" si="34"/>
        <v>0</v>
      </c>
      <c r="Q188" s="287" t="s">
        <v>38</v>
      </c>
      <c r="R188" s="230"/>
      <c r="S188" s="224"/>
      <c r="T188" s="224"/>
      <c r="U188" s="224"/>
      <c r="V188" s="79"/>
      <c r="W188" s="79"/>
      <c r="X188" s="79"/>
      <c r="Y188" s="79"/>
      <c r="Z188" s="79"/>
      <c r="AA188" s="79"/>
      <c r="AB188" s="79"/>
      <c r="AC188" s="92"/>
      <c r="AD188" s="79"/>
      <c r="AE188" s="79"/>
      <c r="AF188" s="79"/>
      <c r="AG188" s="79"/>
      <c r="AH188" s="79"/>
      <c r="AI188" s="79"/>
      <c r="AJ188" s="79"/>
      <c r="AK188" s="79"/>
      <c r="AL188" s="79"/>
      <c r="AM188" s="231"/>
      <c r="AN188" s="79"/>
      <c r="AO188" s="79"/>
      <c r="AP188" s="79"/>
      <c r="AQ188" s="79"/>
      <c r="AR188" s="266"/>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hidden="1" outlineLevel="1" x14ac:dyDescent="0.4">
      <c r="A189" s="30" t="str">
        <f t="shared" si="43"/>
        <v>lt004_protectionprtctn_id</v>
      </c>
      <c r="B189" s="142" t="s">
        <v>26</v>
      </c>
      <c r="C189" s="138" t="s">
        <v>26</v>
      </c>
      <c r="D189" s="253" t="s">
        <v>40</v>
      </c>
      <c r="E189" s="257" t="s">
        <v>369</v>
      </c>
      <c r="F189" s="257"/>
      <c r="G189" s="267" t="s">
        <v>434</v>
      </c>
      <c r="H189" s="255" t="str">
        <f>VLOOKUP(A189,'2. Status Detalhe Campos'!$A$7:$G$574,7,0)</f>
        <v>6. Em implementação (re-especificação)</v>
      </c>
      <c r="I189" s="153">
        <v>45588</v>
      </c>
      <c r="J189" s="235">
        <v>45611</v>
      </c>
      <c r="K189" s="229"/>
      <c r="L189" s="280">
        <f t="array" ref="L189">MIN(IF(V189:CH189&gt;0,$V$16:$CH$16))</f>
        <v>45614</v>
      </c>
      <c r="M189" s="279">
        <f t="array" ref="M189">MAX(IF(V189:CH189&gt;0,$V$16:$CH$16))</f>
        <v>45614</v>
      </c>
      <c r="N189" s="277">
        <f>VLOOKUP(H189,Auxiliar!$B$16:$E$24,4,0)</f>
        <v>0</v>
      </c>
      <c r="O189" s="277">
        <f t="shared" ref="O189:O192" ca="1" si="49">IF(TODAY()&lt;=L189,0,MIN((TODAY()-L189)/(M189-L189+1),100%))</f>
        <v>0</v>
      </c>
      <c r="P189" s="276">
        <f t="shared" ca="1" si="34"/>
        <v>0</v>
      </c>
      <c r="Q189" s="287" t="s">
        <v>38</v>
      </c>
      <c r="R189" s="230"/>
      <c r="S189" s="224">
        <v>0.1</v>
      </c>
      <c r="T189" s="224">
        <f t="shared" ref="T189:T198" si="50">ROUND(S189/8,1)</f>
        <v>0</v>
      </c>
      <c r="U189" s="233">
        <f>SUM(V189:CH189)-T189</f>
        <v>0.1</v>
      </c>
      <c r="V189" s="237"/>
      <c r="W189" s="79"/>
      <c r="X189" s="79"/>
      <c r="Y189" s="79"/>
      <c r="Z189" s="79"/>
      <c r="AA189" s="79"/>
      <c r="AB189" s="79"/>
      <c r="AC189" s="92"/>
      <c r="AD189" s="79"/>
      <c r="AE189" s="79"/>
      <c r="AF189" s="79"/>
      <c r="AG189" s="79"/>
      <c r="AH189" s="79"/>
      <c r="AI189" s="79"/>
      <c r="AJ189" s="79"/>
      <c r="AK189" s="79"/>
      <c r="AL189" s="79"/>
      <c r="AM189" s="231"/>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hidden="1" outlineLevel="1" x14ac:dyDescent="0.4">
      <c r="A190" s="30" t="str">
        <f t="shared" si="43"/>
        <v>lt004_protectionrl_estt_clltrl_lctn</v>
      </c>
      <c r="B190" s="142" t="s">
        <v>26</v>
      </c>
      <c r="C190" s="138" t="s">
        <v>26</v>
      </c>
      <c r="D190" s="253" t="s">
        <v>40</v>
      </c>
      <c r="E190" s="257" t="s">
        <v>369</v>
      </c>
      <c r="F190" s="257"/>
      <c r="G190" s="267" t="s">
        <v>435</v>
      </c>
      <c r="H190" s="255" t="str">
        <f>VLOOKUP(A190,'2. Status Detalhe Campos'!$A$7:$G$574,7,0)</f>
        <v>6. Em implementação (re-especificação)</v>
      </c>
      <c r="I190" s="153">
        <v>45588</v>
      </c>
      <c r="J190" s="235">
        <v>45611</v>
      </c>
      <c r="K190" s="229"/>
      <c r="L190" s="280">
        <f t="array" ref="L190">MIN(IF(V190:CH190&gt;0,$V$16:$CH$16))</f>
        <v>45614</v>
      </c>
      <c r="M190" s="279">
        <f t="array" ref="M190">MAX(IF(V190:CH190&gt;0,$V$16:$CH$16))</f>
        <v>45614</v>
      </c>
      <c r="N190" s="277">
        <f>VLOOKUP(H190,Auxiliar!$B$16:$E$24,4,0)</f>
        <v>0</v>
      </c>
      <c r="O190" s="277">
        <f t="shared" ca="1" si="49"/>
        <v>0</v>
      </c>
      <c r="P190" s="276">
        <f t="shared" ca="1" si="34"/>
        <v>0</v>
      </c>
      <c r="Q190" s="287" t="s">
        <v>38</v>
      </c>
      <c r="R190" s="230"/>
      <c r="S190" s="224">
        <v>0.1</v>
      </c>
      <c r="T190" s="224">
        <f t="shared" si="50"/>
        <v>0</v>
      </c>
      <c r="U190" s="233">
        <f>SUM(V190:CH190)-T190</f>
        <v>0.1</v>
      </c>
      <c r="V190" s="237"/>
      <c r="W190" s="79"/>
      <c r="X190" s="79"/>
      <c r="Y190" s="79"/>
      <c r="Z190" s="79"/>
      <c r="AA190" s="79"/>
      <c r="AB190" s="79"/>
      <c r="AC190" s="92"/>
      <c r="AD190" s="79"/>
      <c r="AE190" s="79"/>
      <c r="AF190" s="79"/>
      <c r="AG190" s="79"/>
      <c r="AH190" s="79"/>
      <c r="AI190" s="79"/>
      <c r="AJ190" s="79"/>
      <c r="AK190" s="79"/>
      <c r="AL190" s="79"/>
      <c r="AM190" s="231"/>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hidden="1" outlineLevel="1" x14ac:dyDescent="0.4">
      <c r="A191" s="30" t="str">
        <f t="shared" si="43"/>
        <v>lt004_protectionrl_estt_pst_cd</v>
      </c>
      <c r="B191" s="142" t="s">
        <v>26</v>
      </c>
      <c r="C191" s="138" t="s">
        <v>26</v>
      </c>
      <c r="D191" s="253" t="s">
        <v>40</v>
      </c>
      <c r="E191" s="257" t="s">
        <v>369</v>
      </c>
      <c r="F191" s="257"/>
      <c r="G191" s="267" t="s">
        <v>436</v>
      </c>
      <c r="H191" s="255" t="str">
        <f>VLOOKUP(A191,'2. Status Detalhe Campos'!$A$7:$G$574,7,0)</f>
        <v>6. Em implementação (re-especificação)</v>
      </c>
      <c r="I191" s="153">
        <v>45588</v>
      </c>
      <c r="J191" s="235">
        <v>45611</v>
      </c>
      <c r="K191" s="229"/>
      <c r="L191" s="280">
        <f t="array" ref="L191">MIN(IF(V191:CH191&gt;0,$V$16:$CH$16))</f>
        <v>45614</v>
      </c>
      <c r="M191" s="279">
        <f t="array" ref="M191">MAX(IF(V191:CH191&gt;0,$V$16:$CH$16))</f>
        <v>45614</v>
      </c>
      <c r="N191" s="277">
        <f>VLOOKUP(H191,Auxiliar!$B$16:$E$24,4,0)</f>
        <v>0</v>
      </c>
      <c r="O191" s="277">
        <f t="shared" ca="1" si="49"/>
        <v>0</v>
      </c>
      <c r="P191" s="276">
        <f t="shared" ca="1" si="34"/>
        <v>0</v>
      </c>
      <c r="Q191" s="287" t="s">
        <v>38</v>
      </c>
      <c r="R191" s="230"/>
      <c r="S191" s="224">
        <v>0.1</v>
      </c>
      <c r="T191" s="224">
        <f t="shared" si="50"/>
        <v>0</v>
      </c>
      <c r="U191" s="233">
        <f>SUM(V191:CH191)-T191</f>
        <v>0.1</v>
      </c>
      <c r="V191" s="237"/>
      <c r="W191" s="79"/>
      <c r="X191" s="79"/>
      <c r="Y191" s="79"/>
      <c r="Z191" s="79"/>
      <c r="AA191" s="79"/>
      <c r="AB191" s="79"/>
      <c r="AC191" s="92"/>
      <c r="AD191" s="79"/>
      <c r="AE191" s="79"/>
      <c r="AF191" s="79"/>
      <c r="AG191" s="79"/>
      <c r="AH191" s="79"/>
      <c r="AI191" s="79"/>
      <c r="AJ191" s="79"/>
      <c r="AK191" s="79"/>
      <c r="AL191" s="79"/>
      <c r="AM191" s="231"/>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hidden="1" outlineLevel="1" x14ac:dyDescent="0.4">
      <c r="A192" s="30" t="str">
        <f t="shared" si="43"/>
        <v>lt004_protectionorgnl_prtctn_vl</v>
      </c>
      <c r="B192" s="142" t="s">
        <v>26</v>
      </c>
      <c r="C192" s="138" t="s">
        <v>26</v>
      </c>
      <c r="D192" s="253" t="s">
        <v>40</v>
      </c>
      <c r="E192" s="257" t="s">
        <v>369</v>
      </c>
      <c r="F192" s="257"/>
      <c r="G192" s="267" t="s">
        <v>438</v>
      </c>
      <c r="H192" s="255" t="str">
        <f>VLOOKUP(A192,'2. Status Detalhe Campos'!$A$7:$G$574,7,0)</f>
        <v>6. Em implementação (re-especificação)</v>
      </c>
      <c r="I192" s="153">
        <v>45595</v>
      </c>
      <c r="J192" s="235">
        <v>45611</v>
      </c>
      <c r="K192" s="229"/>
      <c r="L192" s="280">
        <f t="array" ref="L192">MIN(IF(V192:CH192&gt;0,$V$16:$CH$16))</f>
        <v>45614</v>
      </c>
      <c r="M192" s="279">
        <f t="array" ref="M192">MAX(IF(V192:CH192&gt;0,$V$16:$CH$16))</f>
        <v>45614</v>
      </c>
      <c r="N192" s="277">
        <f>VLOOKUP(H192,Auxiliar!$B$16:$E$24,4,0)</f>
        <v>0</v>
      </c>
      <c r="O192" s="277">
        <f t="shared" ca="1" si="49"/>
        <v>0</v>
      </c>
      <c r="P192" s="276">
        <f t="shared" ca="1" si="34"/>
        <v>0</v>
      </c>
      <c r="Q192" s="287" t="s">
        <v>38</v>
      </c>
      <c r="R192" s="230"/>
      <c r="S192" s="241">
        <v>1</v>
      </c>
      <c r="T192" s="224">
        <f t="shared" si="50"/>
        <v>0.1</v>
      </c>
      <c r="U192" s="224">
        <f>SUM(V192:CH192)-T192</f>
        <v>0</v>
      </c>
      <c r="V192" s="79"/>
      <c r="W192" s="79"/>
      <c r="X192" s="79"/>
      <c r="Y192" s="79"/>
      <c r="Z192" s="79"/>
      <c r="AA192" s="237"/>
      <c r="AB192" s="79"/>
      <c r="AC192" s="92"/>
      <c r="AD192" s="79"/>
      <c r="AE192" s="79"/>
      <c r="AF192" s="79"/>
      <c r="AG192" s="79"/>
      <c r="AH192" s="79"/>
      <c r="AI192" s="79"/>
      <c r="AJ192" s="79"/>
      <c r="AK192" s="79"/>
      <c r="AL192" s="79"/>
      <c r="AM192" s="231"/>
      <c r="AN192" s="79">
        <v>0.1</v>
      </c>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collapsed="1" x14ac:dyDescent="0.4">
      <c r="A193" s="30"/>
      <c r="B193" s="142" t="s">
        <v>26</v>
      </c>
      <c r="C193" s="138" t="s">
        <v>26</v>
      </c>
      <c r="D193" s="134"/>
      <c r="E193" s="263" t="s">
        <v>369</v>
      </c>
      <c r="F193" s="260" t="s">
        <v>2011</v>
      </c>
      <c r="G193" s="261">
        <f>COUNTA(G194:G198)</f>
        <v>5</v>
      </c>
      <c r="H193" s="136"/>
      <c r="I193" s="259">
        <f>MAX(I194:I198)</f>
        <v>45593</v>
      </c>
      <c r="J193" s="258">
        <f>MIN(J194:J198)</f>
        <v>45624</v>
      </c>
      <c r="K193" s="229"/>
      <c r="L193" s="258">
        <f>MIN(L194:L198)</f>
        <v>45646</v>
      </c>
      <c r="M193" s="259">
        <f>MAX(M194:M198)</f>
        <v>45649</v>
      </c>
      <c r="N193" s="282">
        <f>SUMPRODUCT(N194:N198,T194:T198)/SUM(T194:T198)</f>
        <v>0</v>
      </c>
      <c r="O193" s="282">
        <f ca="1">SUMPRODUCT(O194:O198,T194:T198)/SUM(T194:T198)</f>
        <v>0</v>
      </c>
      <c r="P193" s="276">
        <f t="shared" ca="1" si="34"/>
        <v>0</v>
      </c>
      <c r="Q193" s="287" t="s">
        <v>38</v>
      </c>
      <c r="R193" s="230"/>
      <c r="S193" s="224"/>
      <c r="T193" s="224"/>
      <c r="U193" s="224"/>
      <c r="V193" s="79"/>
      <c r="W193" s="79"/>
      <c r="X193" s="79"/>
      <c r="Y193" s="79"/>
      <c r="Z193" s="79"/>
      <c r="AA193" s="79"/>
      <c r="AB193" s="79"/>
      <c r="AC193" s="92"/>
      <c r="AD193" s="79"/>
      <c r="AE193" s="79"/>
      <c r="AF193" s="79"/>
      <c r="AG193" s="79"/>
      <c r="AH193" s="79"/>
      <c r="AI193" s="79"/>
      <c r="AJ193" s="79"/>
      <c r="AK193" s="79"/>
      <c r="AL193" s="79"/>
      <c r="AM193" s="79"/>
      <c r="AN193" s="79"/>
      <c r="AO193" s="79"/>
      <c r="AP193" s="79"/>
      <c r="AQ193" s="79"/>
      <c r="AR193" s="79"/>
      <c r="AS193" s="79"/>
      <c r="AT193" s="79"/>
      <c r="AU193" s="79"/>
      <c r="AV193" s="231"/>
      <c r="AW193" s="79"/>
      <c r="AX193" s="79"/>
      <c r="AY193" s="79"/>
      <c r="AZ193" s="79"/>
      <c r="BA193" s="79"/>
      <c r="BB193" s="79"/>
      <c r="BC193" s="79"/>
      <c r="BD193" s="79"/>
      <c r="BE193" s="79"/>
      <c r="BF193" s="79"/>
      <c r="BG193" s="79"/>
      <c r="BH193" s="79"/>
      <c r="BI193" s="79"/>
      <c r="BJ193" s="79"/>
      <c r="BK193" s="79"/>
      <c r="BL193" s="79"/>
      <c r="BM193" s="266"/>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hidden="1" outlineLevel="1" x14ac:dyDescent="0.4">
      <c r="A194" s="30" t="str">
        <f t="shared" si="43"/>
        <v>lt004_protectionprtctn_vl</v>
      </c>
      <c r="B194" s="142" t="s">
        <v>26</v>
      </c>
      <c r="C194" s="138" t="s">
        <v>26</v>
      </c>
      <c r="D194" s="253" t="s">
        <v>40</v>
      </c>
      <c r="E194" s="257" t="s">
        <v>369</v>
      </c>
      <c r="F194" s="257"/>
      <c r="G194" s="257" t="s">
        <v>439</v>
      </c>
      <c r="H194" s="255" t="str">
        <f>VLOOKUP(A194,'2. Status Detalhe Campos'!$A$7:$G$574,7,0)</f>
        <v>6. Em implementação (re-especificação)</v>
      </c>
      <c r="I194" s="153">
        <v>45588</v>
      </c>
      <c r="J194" s="235">
        <v>45624</v>
      </c>
      <c r="K194" s="229"/>
      <c r="L194" s="280">
        <f t="array" ref="L194">MIN(IF(V194:CH194&gt;0,$V$16:$CH$16))</f>
        <v>45646</v>
      </c>
      <c r="M194" s="279">
        <f t="array" ref="M194">MAX(IF(V194:CH194&gt;0,$V$16:$CH$16))</f>
        <v>45646</v>
      </c>
      <c r="N194" s="277">
        <f>VLOOKUP(H194,Auxiliar!$B$16:$E$24,4,0)</f>
        <v>0</v>
      </c>
      <c r="O194" s="277">
        <f t="shared" ref="O194:O198" ca="1" si="51">IF(TODAY()&lt;=L194,0,MIN((TODAY()-L194)/(M194-L194+1),100%))</f>
        <v>0</v>
      </c>
      <c r="P194" s="276">
        <f t="shared" ca="1" si="34"/>
        <v>0</v>
      </c>
      <c r="Q194" s="287" t="s">
        <v>38</v>
      </c>
      <c r="R194" s="230"/>
      <c r="S194" s="233">
        <v>4.0999999999999996</v>
      </c>
      <c r="T194" s="224">
        <f t="shared" si="50"/>
        <v>0.5</v>
      </c>
      <c r="U194" s="224">
        <f>SUM(V194:CH194)-T194</f>
        <v>0</v>
      </c>
      <c r="V194" s="237"/>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1"/>
      <c r="AW194" s="79"/>
      <c r="AX194" s="79"/>
      <c r="AY194" s="79"/>
      <c r="AZ194" s="79"/>
      <c r="BA194" s="79"/>
      <c r="BB194" s="79"/>
      <c r="BC194" s="79"/>
      <c r="BD194" s="79"/>
      <c r="BE194" s="79"/>
      <c r="BF194" s="79"/>
      <c r="BG194" s="79"/>
      <c r="BH194" s="79"/>
      <c r="BI194" s="79"/>
      <c r="BJ194" s="79"/>
      <c r="BK194" s="79"/>
      <c r="BL194" s="79">
        <v>0.5</v>
      </c>
      <c r="BM194" s="79"/>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hidden="1" outlineLevel="1" x14ac:dyDescent="0.4">
      <c r="A195" s="30" t="str">
        <f t="shared" si="43"/>
        <v>lt004_protectionflg_fin</v>
      </c>
      <c r="B195" s="142" t="s">
        <v>26</v>
      </c>
      <c r="C195" s="138" t="s">
        <v>26</v>
      </c>
      <c r="D195" s="253" t="s">
        <v>40</v>
      </c>
      <c r="E195" s="257" t="s">
        <v>369</v>
      </c>
      <c r="F195" s="257"/>
      <c r="G195" s="257" t="s">
        <v>481</v>
      </c>
      <c r="H195" s="255" t="str">
        <f>VLOOKUP(A195,'2. Status Detalhe Campos'!$A$7:$G$574,7,0)</f>
        <v>6. Em implementação (re-especificação)</v>
      </c>
      <c r="I195" s="229">
        <v>45593</v>
      </c>
      <c r="J195" s="235">
        <v>45624</v>
      </c>
      <c r="K195" s="229"/>
      <c r="L195" s="280">
        <f t="array" ref="L195">MIN(IF(V195:CH195&gt;0,$V$16:$CH$16))</f>
        <v>45646</v>
      </c>
      <c r="M195" s="279">
        <f t="array" ref="M195">MAX(IF(V195:CH195&gt;0,$V$16:$CH$16))</f>
        <v>45646</v>
      </c>
      <c r="N195" s="277">
        <f>VLOOKUP(H195,Auxiliar!$B$16:$E$24,4,0)</f>
        <v>0</v>
      </c>
      <c r="O195" s="277">
        <f t="shared" ca="1" si="51"/>
        <v>0</v>
      </c>
      <c r="P195" s="276">
        <f t="shared" ca="1" si="34"/>
        <v>0</v>
      </c>
      <c r="Q195" s="287" t="s">
        <v>38</v>
      </c>
      <c r="R195" s="230"/>
      <c r="S195" s="224">
        <v>4.0999999999999996</v>
      </c>
      <c r="T195" s="224">
        <f t="shared" si="50"/>
        <v>0.5</v>
      </c>
      <c r="U195" s="224">
        <f>SUM(V195:CH195)-T195</f>
        <v>0</v>
      </c>
      <c r="V195" s="79"/>
      <c r="W195" s="79"/>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1"/>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hidden="1" outlineLevel="1" x14ac:dyDescent="0.4">
      <c r="A196" s="30" t="str">
        <f t="shared" si="43"/>
        <v>lt004_protectionflg_exec</v>
      </c>
      <c r="B196" s="142" t="s">
        <v>26</v>
      </c>
      <c r="C196" s="138" t="s">
        <v>26</v>
      </c>
      <c r="D196" s="253" t="s">
        <v>40</v>
      </c>
      <c r="E196" s="257" t="s">
        <v>369</v>
      </c>
      <c r="F196" s="257"/>
      <c r="G196" s="257" t="s">
        <v>1364</v>
      </c>
      <c r="H196" s="255" t="str">
        <f>VLOOKUP(A196,'2. Status Detalhe Campos'!$A$7:$G$574,7,0)</f>
        <v>6. Em implementação (re-especificação)</v>
      </c>
      <c r="I196" s="229">
        <v>45593</v>
      </c>
      <c r="J196" s="235">
        <v>45624</v>
      </c>
      <c r="K196" s="229"/>
      <c r="L196" s="280">
        <f t="array" ref="L196">MIN(IF(V196:CH196&gt;0,$V$16:$CH$16))</f>
        <v>45646</v>
      </c>
      <c r="M196" s="279">
        <f t="array" ref="M196">MAX(IF(V196:CH196&gt;0,$V$16:$CH$16))</f>
        <v>45646</v>
      </c>
      <c r="N196" s="277">
        <f>VLOOKUP(H196,Auxiliar!$B$16:$E$24,4,0)</f>
        <v>0</v>
      </c>
      <c r="O196" s="277">
        <f t="shared" ca="1" si="51"/>
        <v>0</v>
      </c>
      <c r="P196" s="276">
        <f t="shared" ca="1" si="34"/>
        <v>0</v>
      </c>
      <c r="Q196" s="287" t="s">
        <v>38</v>
      </c>
      <c r="R196" s="230"/>
      <c r="S196" s="224">
        <v>4.0999999999999996</v>
      </c>
      <c r="T196" s="224">
        <f t="shared" si="50"/>
        <v>0.5</v>
      </c>
      <c r="U196" s="224">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1"/>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hidden="1" outlineLevel="1" x14ac:dyDescent="0.4">
      <c r="A197" s="30" t="str">
        <f t="shared" si="43"/>
        <v>lt004_protectionflg_col</v>
      </c>
      <c r="B197" s="142" t="s">
        <v>26</v>
      </c>
      <c r="C197" s="138" t="s">
        <v>26</v>
      </c>
      <c r="D197" s="253" t="s">
        <v>40</v>
      </c>
      <c r="E197" s="257" t="s">
        <v>369</v>
      </c>
      <c r="F197" s="257"/>
      <c r="G197" s="257" t="s">
        <v>480</v>
      </c>
      <c r="H197" s="255" t="str">
        <f>VLOOKUP(A197,'2. Status Detalhe Campos'!$A$7:$G$574,7,0)</f>
        <v>6. Em implementação (re-especificação)</v>
      </c>
      <c r="I197" s="229">
        <v>45593</v>
      </c>
      <c r="J197" s="235">
        <v>45624</v>
      </c>
      <c r="K197" s="229"/>
      <c r="L197" s="280">
        <f t="array" ref="L197">MIN(IF(V197:CH197&gt;0,$V$16:$CH$16))</f>
        <v>45646</v>
      </c>
      <c r="M197" s="279">
        <f t="array" ref="M197">MAX(IF(V197:CH197&gt;0,$V$16:$CH$16))</f>
        <v>45646</v>
      </c>
      <c r="N197" s="277">
        <f>VLOOKUP(H197,Auxiliar!$B$16:$E$24,4,0)</f>
        <v>0</v>
      </c>
      <c r="O197" s="277">
        <f t="shared" ca="1" si="51"/>
        <v>0</v>
      </c>
      <c r="P197" s="276">
        <f t="shared" ca="1" si="34"/>
        <v>0</v>
      </c>
      <c r="Q197" s="287" t="s">
        <v>38</v>
      </c>
      <c r="R197" s="230"/>
      <c r="S197" s="224">
        <v>4.0999999999999996</v>
      </c>
      <c r="T197" s="224">
        <f t="shared" si="50"/>
        <v>0.5</v>
      </c>
      <c r="U197" s="224">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1"/>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hidden="1" outlineLevel="1" x14ac:dyDescent="0.4">
      <c r="A198" s="30" t="str">
        <f t="shared" si="43"/>
        <v>lt004_protectionflg_pro</v>
      </c>
      <c r="B198" s="142" t="s">
        <v>26</v>
      </c>
      <c r="C198" s="138" t="s">
        <v>26</v>
      </c>
      <c r="D198" s="253" t="s">
        <v>40</v>
      </c>
      <c r="E198" s="257" t="s">
        <v>369</v>
      </c>
      <c r="F198" s="257"/>
      <c r="G198" s="257" t="s">
        <v>482</v>
      </c>
      <c r="H198" s="255" t="str">
        <f>VLOOKUP(A198,'2. Status Detalhe Campos'!$A$7:$G$574,7,0)</f>
        <v>6. Em implementação (re-especificação)</v>
      </c>
      <c r="I198" s="229">
        <v>45593</v>
      </c>
      <c r="J198" s="235">
        <v>45624</v>
      </c>
      <c r="K198" s="229"/>
      <c r="L198" s="280">
        <f t="array" ref="L198">MIN(IF(V198:CH198&gt;0,$V$16:$CH$16))</f>
        <v>45649</v>
      </c>
      <c r="M198" s="279">
        <f t="array" ref="M198">MAX(IF(V198:CH198&gt;0,$V$16:$CH$16))</f>
        <v>45649</v>
      </c>
      <c r="N198" s="277">
        <f>VLOOKUP(H198,Auxiliar!$B$16:$E$24,4,0)</f>
        <v>0</v>
      </c>
      <c r="O198" s="277">
        <f t="shared" ca="1" si="51"/>
        <v>0</v>
      </c>
      <c r="P198" s="276">
        <f t="shared" ca="1" si="34"/>
        <v>0</v>
      </c>
      <c r="Q198" s="287" t="s">
        <v>38</v>
      </c>
      <c r="R198" s="230"/>
      <c r="S198" s="224">
        <v>4.0999999999999996</v>
      </c>
      <c r="T198" s="224">
        <f t="shared" si="50"/>
        <v>0.5</v>
      </c>
      <c r="U198" s="224">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1"/>
      <c r="AW198" s="79"/>
      <c r="AX198" s="79"/>
      <c r="AY198" s="79"/>
      <c r="AZ198" s="79"/>
      <c r="BA198" s="79"/>
      <c r="BB198" s="79"/>
      <c r="BC198" s="79"/>
      <c r="BD198" s="79"/>
      <c r="BE198" s="79"/>
      <c r="BF198" s="79"/>
      <c r="BG198" s="79"/>
      <c r="BH198" s="79"/>
      <c r="BI198" s="79"/>
      <c r="BJ198" s="79"/>
      <c r="BK198" s="79"/>
      <c r="BL198" s="79"/>
      <c r="BM198" s="79">
        <v>0.5</v>
      </c>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collapsed="1" x14ac:dyDescent="0.4">
      <c r="A199" s="30"/>
      <c r="B199" s="142" t="s">
        <v>26</v>
      </c>
      <c r="C199" s="138" t="s">
        <v>26</v>
      </c>
      <c r="D199" s="134"/>
      <c r="E199" s="263" t="s">
        <v>369</v>
      </c>
      <c r="F199" s="260" t="s">
        <v>2025</v>
      </c>
      <c r="G199" s="261">
        <f>COUNTA(G200)</f>
        <v>1</v>
      </c>
      <c r="H199" s="136"/>
      <c r="I199" s="264">
        <f>MIN(I200)</f>
        <v>45603</v>
      </c>
      <c r="J199" s="238"/>
      <c r="K199" s="239"/>
      <c r="L199" s="258">
        <f>MIN(L200)</f>
        <v>45663</v>
      </c>
      <c r="M199" s="259">
        <f>MAX(M200)</f>
        <v>45663</v>
      </c>
      <c r="N199" s="282">
        <f>N200</f>
        <v>0</v>
      </c>
      <c r="O199" s="282">
        <f ca="1">O200</f>
        <v>0</v>
      </c>
      <c r="P199" s="276">
        <f t="shared" ca="1" si="34"/>
        <v>0</v>
      </c>
      <c r="Q199" s="287" t="s">
        <v>2030</v>
      </c>
      <c r="R199" s="230"/>
      <c r="S199" s="224"/>
      <c r="T199" s="224"/>
      <c r="U199" s="224"/>
      <c r="V199" s="79"/>
      <c r="W199" s="79"/>
      <c r="X199" s="79"/>
      <c r="Y199" s="79"/>
      <c r="Z199" s="79"/>
      <c r="AA199" s="79"/>
      <c r="AB199" s="79"/>
      <c r="AC199" s="92"/>
      <c r="AD199" s="79"/>
      <c r="AE199" s="79"/>
      <c r="AF199" s="79"/>
      <c r="AG199" s="237"/>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92"/>
      <c r="BO199" s="92"/>
      <c r="BP199" s="92"/>
      <c r="BQ199" s="92"/>
      <c r="BR199" s="92"/>
      <c r="BS199" s="92"/>
      <c r="BT199" s="92"/>
      <c r="BU199" s="79"/>
      <c r="BV199" s="79"/>
      <c r="BW199" s="79"/>
      <c r="BX199" s="266"/>
      <c r="BY199" s="79"/>
      <c r="BZ199" s="79"/>
      <c r="CA199" s="79"/>
      <c r="CB199" s="79"/>
      <c r="CC199" s="79"/>
      <c r="CD199" s="79"/>
      <c r="CE199" s="79"/>
      <c r="CF199" s="79"/>
      <c r="CG199" s="79"/>
      <c r="CH199" s="79"/>
    </row>
    <row r="200" spans="1:86" ht="16.2" hidden="1" outlineLevel="1" x14ac:dyDescent="0.4">
      <c r="A200" s="30" t="str">
        <f>E200&amp;G200</f>
        <v>lt004_protectiontyp_prtctn</v>
      </c>
      <c r="B200" s="142" t="s">
        <v>26</v>
      </c>
      <c r="C200" s="138" t="s">
        <v>26</v>
      </c>
      <c r="D200" s="253" t="s">
        <v>40</v>
      </c>
      <c r="E200" s="257" t="s">
        <v>369</v>
      </c>
      <c r="F200" s="257"/>
      <c r="G200" s="257" t="s">
        <v>437</v>
      </c>
      <c r="H200" s="255" t="str">
        <f>VLOOKUP(A200,'2. Status Detalhe Campos'!$A$7:$G$574,7,0)</f>
        <v>6. Em implementação (re-especificação)</v>
      </c>
      <c r="I200" s="240">
        <v>45603</v>
      </c>
      <c r="J200" s="238" t="s">
        <v>1962</v>
      </c>
      <c r="K200" s="239"/>
      <c r="L200" s="280">
        <f t="array" ref="L200">MIN(IF(V200:CH200&gt;0,$V$16:$CH$16))</f>
        <v>45663</v>
      </c>
      <c r="M200" s="279">
        <f t="array" ref="M200">MAX(IF(V200:CH200&gt;0,$V$16:$CH$16))</f>
        <v>45663</v>
      </c>
      <c r="N200" s="277">
        <f>VLOOKUP(H200,Auxiliar!$B$16:$E$24,4,0)</f>
        <v>0</v>
      </c>
      <c r="O200" s="277">
        <f t="shared" ref="O200" ca="1" si="52">IF(TODAY()&lt;=L200,0,MIN((TODAY()-L200)/(M200-L200+1),100%))</f>
        <v>0</v>
      </c>
      <c r="P200" s="276">
        <f t="shared" ca="1" si="34"/>
        <v>0</v>
      </c>
      <c r="Q200" s="287" t="s">
        <v>38</v>
      </c>
      <c r="R200" s="230"/>
      <c r="S200" s="233">
        <v>4.0999999999999996</v>
      </c>
      <c r="T200" s="224">
        <f>ROUND(S200/8,1)</f>
        <v>0.5</v>
      </c>
      <c r="U200" s="224">
        <f>SUM(V200:CH200)-T200</f>
        <v>0</v>
      </c>
      <c r="V200" s="79"/>
      <c r="W200" s="79"/>
      <c r="X200" s="79"/>
      <c r="Y200" s="79"/>
      <c r="Z200" s="79"/>
      <c r="AA200" s="237"/>
      <c r="AB200" s="79"/>
      <c r="AC200" s="92"/>
      <c r="AD200" s="79"/>
      <c r="AE200" s="79"/>
      <c r="AF200" s="79"/>
      <c r="AG200" s="237"/>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v>0.5</v>
      </c>
      <c r="BX200" s="79"/>
      <c r="BY200" s="79"/>
      <c r="BZ200" s="79"/>
      <c r="CA200" s="79"/>
      <c r="CB200" s="79"/>
      <c r="CC200" s="79"/>
      <c r="CD200" s="79"/>
      <c r="CE200" s="79"/>
      <c r="CF200" s="79"/>
      <c r="CG200" s="79"/>
      <c r="CH200" s="79"/>
    </row>
    <row r="201" spans="1:86" ht="16.2" collapsed="1" x14ac:dyDescent="0.4">
      <c r="A201" s="30"/>
      <c r="B201" s="142" t="s">
        <v>26</v>
      </c>
      <c r="C201" s="138" t="s">
        <v>26</v>
      </c>
      <c r="D201" s="134"/>
      <c r="E201" s="263" t="s">
        <v>380</v>
      </c>
      <c r="F201" s="260" t="s">
        <v>1989</v>
      </c>
      <c r="G201" s="261">
        <f>COUNTA(G202)</f>
        <v>1</v>
      </c>
      <c r="H201" s="136"/>
      <c r="I201" s="259">
        <f>MAX(I202)</f>
        <v>45583</v>
      </c>
      <c r="J201" s="258">
        <f>MIN(J202)</f>
        <v>45589</v>
      </c>
      <c r="K201" s="258">
        <f>MIN(K202)</f>
        <v>45589</v>
      </c>
      <c r="L201" s="258">
        <f>MIN(L202)</f>
        <v>45593</v>
      </c>
      <c r="M201" s="259">
        <f>MAX(M202)</f>
        <v>45593</v>
      </c>
      <c r="N201" s="282">
        <f>N202</f>
        <v>1</v>
      </c>
      <c r="O201" s="282">
        <f ca="1">O202</f>
        <v>1</v>
      </c>
      <c r="P201" s="276">
        <f t="shared" ca="1" si="34"/>
        <v>0</v>
      </c>
      <c r="Q201" s="287" t="s">
        <v>38</v>
      </c>
      <c r="R201" s="230"/>
      <c r="S201" s="224"/>
      <c r="T201" s="224"/>
      <c r="U201" s="224"/>
      <c r="V201" s="79"/>
      <c r="W201" s="227"/>
      <c r="X201" s="79"/>
      <c r="Y201" s="266"/>
      <c r="Z201" s="79"/>
      <c r="AA201" s="79"/>
      <c r="AB201" s="79"/>
      <c r="AC201" s="92"/>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c r="BX201" s="79"/>
      <c r="BY201" s="79"/>
      <c r="BZ201" s="79"/>
      <c r="CA201" s="79"/>
      <c r="CB201" s="79"/>
      <c r="CC201" s="79"/>
      <c r="CD201" s="79"/>
      <c r="CE201" s="79"/>
      <c r="CF201" s="79"/>
      <c r="CG201" s="79"/>
      <c r="CH201" s="79"/>
    </row>
    <row r="202" spans="1:86" ht="16.2" hidden="1" outlineLevel="1" x14ac:dyDescent="0.4">
      <c r="A202" s="30" t="str">
        <f>E202&amp;G202</f>
        <v>lt002_instrumentlns_clltrlzd_clssfctn</v>
      </c>
      <c r="B202" s="142" t="s">
        <v>26</v>
      </c>
      <c r="C202" s="138" t="s">
        <v>26</v>
      </c>
      <c r="D202" s="253" t="s">
        <v>40</v>
      </c>
      <c r="E202" s="257" t="s">
        <v>380</v>
      </c>
      <c r="F202" s="257"/>
      <c r="G202" s="257" t="s">
        <v>385</v>
      </c>
      <c r="H202" s="255" t="str">
        <f>VLOOKUP(A202,'2. Status Detalhe Campos'!$A$7:$G$574,7,0)</f>
        <v>1. Concluído</v>
      </c>
      <c r="I202" s="229">
        <v>45583</v>
      </c>
      <c r="J202" s="153">
        <v>45589</v>
      </c>
      <c r="K202" s="153">
        <v>45589</v>
      </c>
      <c r="L202" s="280">
        <f t="array" ref="L202">MIN(IF(V202:CH202&gt;0,$V$16:$CH$16))</f>
        <v>45593</v>
      </c>
      <c r="M202" s="279">
        <f t="array" ref="M202">MAX(IF(V202:CH202&gt;0,$V$16:$CH$16))</f>
        <v>45593</v>
      </c>
      <c r="N202" s="277">
        <f>VLOOKUP(H202,Auxiliar!$B$16:$E$24,4,0)</f>
        <v>1</v>
      </c>
      <c r="O202" s="277">
        <f t="shared" ref="O202" ca="1" si="53">IF(TODAY()&lt;=L202,0,MIN((TODAY()-L202)/(M202-L202+1),100%))</f>
        <v>1</v>
      </c>
      <c r="P202" s="276">
        <f t="shared" ca="1" si="34"/>
        <v>0</v>
      </c>
      <c r="Q202" s="287" t="s">
        <v>38</v>
      </c>
      <c r="R202" s="230"/>
      <c r="S202" s="224">
        <v>4.0999999999999996</v>
      </c>
      <c r="T202" s="224">
        <f>ROUND(S202/8,1)</f>
        <v>0.5</v>
      </c>
      <c r="U202" s="224">
        <f>SUM(V202:CH202)-T202</f>
        <v>0</v>
      </c>
      <c r="V202" s="79"/>
      <c r="W202" s="227"/>
      <c r="X202" s="79"/>
      <c r="Y202" s="79">
        <v>0.5</v>
      </c>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collapsed="1" x14ac:dyDescent="0.4">
      <c r="A203" s="30"/>
      <c r="B203" s="142" t="s">
        <v>26</v>
      </c>
      <c r="C203" s="138" t="s">
        <v>26</v>
      </c>
      <c r="D203" s="134"/>
      <c r="E203" s="263" t="s">
        <v>380</v>
      </c>
      <c r="F203" s="260" t="s">
        <v>2010</v>
      </c>
      <c r="G203" s="261">
        <f>COUNTA(G204:G205)</f>
        <v>2</v>
      </c>
      <c r="H203" s="136"/>
      <c r="I203" s="259">
        <f>MAX(I204:I205)</f>
        <v>45595</v>
      </c>
      <c r="J203" s="258">
        <f>MIN(J204:J205)</f>
        <v>45611</v>
      </c>
      <c r="K203" s="258"/>
      <c r="L203" s="258">
        <f>MIN(L204:L205)</f>
        <v>45614</v>
      </c>
      <c r="M203" s="259">
        <f>MAX(M204:M205)</f>
        <v>45621</v>
      </c>
      <c r="N203" s="282">
        <f>SUMPRODUCT(N204:N205,T204:T205)/SUM(T204:T205)</f>
        <v>0</v>
      </c>
      <c r="O203" s="282">
        <f ca="1">SUMPRODUCT(O204:O205,T204:T205)/SUM(T204:T205)</f>
        <v>0</v>
      </c>
      <c r="P203" s="276">
        <f t="shared" ca="1" si="34"/>
        <v>0</v>
      </c>
      <c r="Q203" s="287" t="s">
        <v>38</v>
      </c>
      <c r="R203" s="230"/>
      <c r="S203" s="224"/>
      <c r="T203" s="224"/>
      <c r="U203" s="224"/>
      <c r="V203" s="79"/>
      <c r="W203" s="79"/>
      <c r="X203" s="79"/>
      <c r="Y203" s="79"/>
      <c r="Z203" s="79"/>
      <c r="AA203" s="79"/>
      <c r="AB203" s="79"/>
      <c r="AC203" s="92"/>
      <c r="AD203" s="79"/>
      <c r="AE203" s="79"/>
      <c r="AF203" s="79"/>
      <c r="AG203" s="79"/>
      <c r="AH203" s="79"/>
      <c r="AI203" s="79"/>
      <c r="AJ203" s="79"/>
      <c r="AK203" s="79"/>
      <c r="AL203" s="79"/>
      <c r="AM203" s="231"/>
      <c r="AN203" s="79"/>
      <c r="AO203" s="79"/>
      <c r="AP203" s="79"/>
      <c r="AQ203" s="79"/>
      <c r="AR203" s="79"/>
      <c r="AS203" s="79"/>
      <c r="AT203" s="79"/>
      <c r="AU203" s="79"/>
      <c r="AV203" s="79"/>
      <c r="AW203" s="266"/>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hidden="1" outlineLevel="1" x14ac:dyDescent="0.4">
      <c r="A204" s="30" t="str">
        <f t="shared" ref="A204:A214" si="54">E204&amp;G204</f>
        <v>lt002_instrumentrsk_mtgtd_cct</v>
      </c>
      <c r="B204" s="142" t="s">
        <v>26</v>
      </c>
      <c r="C204" s="138" t="s">
        <v>26</v>
      </c>
      <c r="D204" s="253" t="s">
        <v>40</v>
      </c>
      <c r="E204" s="257" t="s">
        <v>380</v>
      </c>
      <c r="F204" s="257"/>
      <c r="G204" s="257" t="s">
        <v>381</v>
      </c>
      <c r="H204" s="255" t="str">
        <f>VLOOKUP(A204,'2. Status Detalhe Campos'!$A$7:$G$574,7,0)</f>
        <v>6. Em implementação (re-especificação)</v>
      </c>
      <c r="I204" s="153">
        <v>45595</v>
      </c>
      <c r="J204" s="235">
        <v>45611</v>
      </c>
      <c r="K204" s="229"/>
      <c r="L204" s="280">
        <f t="array" ref="L204">MIN(IF(V204:CH204&gt;0,$V$16:$CH$16))</f>
        <v>45621</v>
      </c>
      <c r="M204" s="279">
        <f t="array" ref="M204">MAX(IF(V204:CH204&gt;0,$V$16:$CH$16))</f>
        <v>45621</v>
      </c>
      <c r="N204" s="277">
        <f>VLOOKUP(H204,Auxiliar!$B$16:$E$24,4,0)</f>
        <v>0</v>
      </c>
      <c r="O204" s="277">
        <f t="shared" ref="O204:O205" ca="1" si="55">IF(TODAY()&lt;=L204,0,MIN((TODAY()-L204)/(M204-L204+1),100%))</f>
        <v>0</v>
      </c>
      <c r="P204" s="276">
        <f t="shared" ca="1" si="34"/>
        <v>0</v>
      </c>
      <c r="Q204" s="287" t="s">
        <v>38</v>
      </c>
      <c r="R204" s="230"/>
      <c r="S204" s="224">
        <v>4.0999999999999996</v>
      </c>
      <c r="T204" s="224">
        <f t="shared" si="40"/>
        <v>0.5</v>
      </c>
      <c r="U204" s="224">
        <f>SUM(V204:CH204)-T204</f>
        <v>0</v>
      </c>
      <c r="V204" s="79"/>
      <c r="W204" s="79"/>
      <c r="X204" s="79"/>
      <c r="Y204" s="79"/>
      <c r="Z204" s="79"/>
      <c r="AA204" s="237"/>
      <c r="AB204" s="79"/>
      <c r="AC204" s="92"/>
      <c r="AD204" s="79"/>
      <c r="AE204" s="79"/>
      <c r="AF204" s="79"/>
      <c r="AG204" s="79"/>
      <c r="AH204" s="79"/>
      <c r="AI204" s="79"/>
      <c r="AJ204" s="79"/>
      <c r="AK204" s="79"/>
      <c r="AL204" s="79"/>
      <c r="AM204" s="231"/>
      <c r="AN204" s="79"/>
      <c r="AO204" s="79"/>
      <c r="AP204" s="79"/>
      <c r="AQ204" s="79"/>
      <c r="AR204" s="79"/>
      <c r="AS204" s="79">
        <v>0.5</v>
      </c>
      <c r="AT204" s="79"/>
      <c r="AU204" s="79"/>
      <c r="AV204" s="79"/>
      <c r="AW204" s="79"/>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hidden="1" outlineLevel="1" x14ac:dyDescent="0.4">
      <c r="A205" s="30" t="str">
        <f>E205&amp;G205</f>
        <v>lt002_instrumentsstnbl_ctgry_txnmy</v>
      </c>
      <c r="B205" s="142" t="s">
        <v>26</v>
      </c>
      <c r="C205" s="138" t="s">
        <v>26</v>
      </c>
      <c r="D205" s="253" t="s">
        <v>40</v>
      </c>
      <c r="E205" s="257" t="s">
        <v>380</v>
      </c>
      <c r="F205" s="257"/>
      <c r="G205" s="257" t="s">
        <v>389</v>
      </c>
      <c r="H205" s="255" t="str">
        <f>VLOOKUP(A205,'2. Status Detalhe Campos'!$A$7:$G$574,7,0)</f>
        <v>6. Em implementação (re-especificação)</v>
      </c>
      <c r="I205" s="153">
        <v>45590</v>
      </c>
      <c r="J205" s="235">
        <v>45611</v>
      </c>
      <c r="K205" s="229"/>
      <c r="L205" s="280">
        <f t="array" ref="L205">MIN(IF(V205:CH205&gt;0,$V$16:$CH$16))</f>
        <v>45614</v>
      </c>
      <c r="M205" s="279">
        <f t="array" ref="M205">MAX(IF(V205:CH205&gt;0,$V$16:$CH$16))</f>
        <v>45614</v>
      </c>
      <c r="N205" s="277">
        <f>VLOOKUP(H205,Auxiliar!$B$16:$E$24,4,0)</f>
        <v>0</v>
      </c>
      <c r="O205" s="277">
        <f t="shared" ca="1" si="55"/>
        <v>0</v>
      </c>
      <c r="P205" s="276">
        <f t="shared" ca="1" si="34"/>
        <v>0</v>
      </c>
      <c r="Q205" s="287" t="s">
        <v>38</v>
      </c>
      <c r="R205" s="230"/>
      <c r="S205" s="224">
        <v>4.0999999999999996</v>
      </c>
      <c r="T205" s="224">
        <f>ROUND(S205/8,1)</f>
        <v>0.5</v>
      </c>
      <c r="U205" s="224">
        <f>SUM(V205:CH205)-T205</f>
        <v>0</v>
      </c>
      <c r="V205" s="79"/>
      <c r="W205" s="79"/>
      <c r="X205" s="237"/>
      <c r="Y205" s="79"/>
      <c r="Z205" s="79"/>
      <c r="AA205" s="79"/>
      <c r="AB205" s="79"/>
      <c r="AC205" s="92"/>
      <c r="AD205" s="79"/>
      <c r="AE205" s="79"/>
      <c r="AF205" s="79"/>
      <c r="AG205" s="79"/>
      <c r="AH205" s="79"/>
      <c r="AI205" s="79"/>
      <c r="AJ205" s="79"/>
      <c r="AK205" s="79"/>
      <c r="AL205" s="79"/>
      <c r="AM205" s="231"/>
      <c r="AN205" s="79">
        <v>0.5</v>
      </c>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collapsed="1" x14ac:dyDescent="0.4">
      <c r="A206" s="30"/>
      <c r="B206" s="142" t="s">
        <v>26</v>
      </c>
      <c r="C206" s="138" t="s">
        <v>26</v>
      </c>
      <c r="D206" s="134"/>
      <c r="E206" s="263" t="s">
        <v>380</v>
      </c>
      <c r="F206" s="260" t="s">
        <v>2013</v>
      </c>
      <c r="G206" s="261">
        <f>COUNTA(G207:G209)</f>
        <v>3</v>
      </c>
      <c r="H206" s="136"/>
      <c r="I206" s="264">
        <f>MAX(I207:I209)</f>
        <v>45603</v>
      </c>
      <c r="J206" s="262">
        <f>MIN(J207:J209)</f>
        <v>45611</v>
      </c>
      <c r="K206" s="262"/>
      <c r="L206" s="259">
        <f>MIN(L207:L209)</f>
        <v>45642</v>
      </c>
      <c r="M206" s="259">
        <f>MAX(M207:M209)</f>
        <v>45643</v>
      </c>
      <c r="N206" s="282">
        <f>SUMPRODUCT(N207:N209,T207:T209)/SUM(T207:T209)</f>
        <v>0</v>
      </c>
      <c r="O206" s="282">
        <f ca="1">SUMPRODUCT(O207:O209,T207:T209)/SUM(T207:T209)</f>
        <v>0</v>
      </c>
      <c r="P206" s="276">
        <f t="shared" ca="1" si="34"/>
        <v>0</v>
      </c>
      <c r="Q206" s="287" t="s">
        <v>2031</v>
      </c>
      <c r="R206" s="230"/>
      <c r="S206" s="224"/>
      <c r="T206" s="224"/>
      <c r="U206" s="224"/>
      <c r="V206" s="79"/>
      <c r="W206" s="79"/>
      <c r="X206" s="79"/>
      <c r="Y206" s="237"/>
      <c r="Z206" s="79"/>
      <c r="AA206" s="79"/>
      <c r="AB206" s="79"/>
      <c r="AC206" s="92"/>
      <c r="AD206" s="79"/>
      <c r="AE206" s="79"/>
      <c r="AF206" s="79"/>
      <c r="AG206" s="237"/>
      <c r="AH206" s="79"/>
      <c r="AI206" s="79"/>
      <c r="AJ206" s="79"/>
      <c r="AK206" s="79"/>
      <c r="AL206" s="79"/>
      <c r="AM206" s="231"/>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hidden="1" outlineLevel="1" x14ac:dyDescent="0.4">
      <c r="A207" s="30" t="str">
        <f>E207&amp;G207</f>
        <v>lt002_instrumentmthd_usd_instrmnt_scp_1</v>
      </c>
      <c r="B207" s="142" t="s">
        <v>26</v>
      </c>
      <c r="C207" s="138" t="s">
        <v>26</v>
      </c>
      <c r="D207" s="253" t="s">
        <v>40</v>
      </c>
      <c r="E207" s="257" t="s">
        <v>380</v>
      </c>
      <c r="F207" s="257"/>
      <c r="G207" s="257" t="s">
        <v>386</v>
      </c>
      <c r="H207" s="255" t="str">
        <f>VLOOKUP(A207,'2. Status Detalhe Campos'!$A$7:$G$574,7,0)</f>
        <v>6. Em implementação (re-especificação)</v>
      </c>
      <c r="I207" s="240">
        <v>45603</v>
      </c>
      <c r="J207" s="238">
        <v>45611</v>
      </c>
      <c r="K207" s="239"/>
      <c r="L207" s="280">
        <f t="array" ref="L207">MIN(IF(V207:CH207&gt;0,$V$16:$CH$16))</f>
        <v>45642</v>
      </c>
      <c r="M207" s="279">
        <f t="array" ref="M207">MAX(IF(V207:CH207&gt;0,$V$16:$CH$16))</f>
        <v>45642</v>
      </c>
      <c r="N207" s="277">
        <f>VLOOKUP(H207,Auxiliar!$B$16:$E$24,4,0)</f>
        <v>0</v>
      </c>
      <c r="O207" s="277">
        <f t="shared" ref="O207:O209" ca="1" si="56">IF(TODAY()&lt;=L207,0,MIN((TODAY()-L207)/(M207-L207+1),100%))</f>
        <v>0</v>
      </c>
      <c r="P207" s="276">
        <f t="shared" ca="1" si="34"/>
        <v>0</v>
      </c>
      <c r="Q207" s="276"/>
      <c r="R207" s="230"/>
      <c r="S207" s="224">
        <v>4.0999999999999996</v>
      </c>
      <c r="T207" s="224">
        <f>ROUND(S207/8,1)</f>
        <v>0.5</v>
      </c>
      <c r="U207" s="224">
        <f>SUM(V207:CH207)-T207</f>
        <v>0</v>
      </c>
      <c r="V207" s="79"/>
      <c r="W207" s="79"/>
      <c r="X207" s="79"/>
      <c r="Y207" s="237"/>
      <c r="Z207" s="79"/>
      <c r="AA207" s="79"/>
      <c r="AB207" s="79"/>
      <c r="AC207" s="92"/>
      <c r="AD207" s="79"/>
      <c r="AE207" s="79"/>
      <c r="AF207" s="79"/>
      <c r="AG207" s="237"/>
      <c r="AH207" s="79"/>
      <c r="AI207" s="79"/>
      <c r="AJ207" s="79"/>
      <c r="AK207" s="79"/>
      <c r="AL207" s="79"/>
      <c r="AM207" s="231"/>
      <c r="AN207" s="79"/>
      <c r="AO207" s="79"/>
      <c r="AP207" s="79"/>
      <c r="AQ207" s="79"/>
      <c r="AR207" s="79"/>
      <c r="AS207" s="79"/>
      <c r="AT207" s="79"/>
      <c r="AU207" s="79"/>
      <c r="AV207" s="79"/>
      <c r="AW207" s="79"/>
      <c r="AX207" s="79"/>
      <c r="AY207" s="79"/>
      <c r="AZ207" s="79"/>
      <c r="BA207" s="79"/>
      <c r="BB207" s="79"/>
      <c r="BC207" s="79"/>
      <c r="BD207" s="79"/>
      <c r="BE207" s="79"/>
      <c r="BF207" s="79"/>
      <c r="BG207" s="79"/>
      <c r="BH207" s="79">
        <v>0.5</v>
      </c>
      <c r="BI207" s="79"/>
      <c r="BJ207" s="79"/>
      <c r="BK207" s="79"/>
      <c r="BL207" s="266"/>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hidden="1" outlineLevel="1" x14ac:dyDescent="0.4">
      <c r="A208" s="30" t="str">
        <f>E208&amp;G208</f>
        <v>lt002_instrumentmthd_usd_instrmnt_scp_2</v>
      </c>
      <c r="B208" s="142" t="s">
        <v>26</v>
      </c>
      <c r="C208" s="138" t="s">
        <v>26</v>
      </c>
      <c r="D208" s="253" t="s">
        <v>40</v>
      </c>
      <c r="E208" s="257" t="s">
        <v>380</v>
      </c>
      <c r="F208" s="257"/>
      <c r="G208" s="257" t="s">
        <v>387</v>
      </c>
      <c r="H208" s="255" t="str">
        <f>VLOOKUP(A208,'2. Status Detalhe Campos'!$A$7:$G$574,7,0)</f>
        <v>6. Em implementação (re-especificação)</v>
      </c>
      <c r="I208" s="240">
        <v>45603</v>
      </c>
      <c r="J208" s="238">
        <v>45611</v>
      </c>
      <c r="K208" s="239"/>
      <c r="L208" s="280">
        <f t="array" ref="L208">MIN(IF(V208:CH208&gt;0,$V$16:$CH$16))</f>
        <v>45643</v>
      </c>
      <c r="M208" s="279">
        <f t="array" ref="M208">MAX(IF(V208:CH208&gt;0,$V$16:$CH$16))</f>
        <v>45643</v>
      </c>
      <c r="N208" s="277">
        <f>VLOOKUP(H208,Auxiliar!$B$16:$E$24,4,0)</f>
        <v>0</v>
      </c>
      <c r="O208" s="277">
        <f t="shared" ca="1" si="56"/>
        <v>0</v>
      </c>
      <c r="P208" s="276">
        <f t="shared" ca="1" si="34"/>
        <v>0</v>
      </c>
      <c r="Q208" s="276"/>
      <c r="R208" s="230"/>
      <c r="S208" s="224">
        <v>4.0999999999999996</v>
      </c>
      <c r="T208" s="224">
        <f>ROUND(S208/8,1)</f>
        <v>0.5</v>
      </c>
      <c r="U208" s="224">
        <f>SUM(V208:CH208)-T208</f>
        <v>0</v>
      </c>
      <c r="V208" s="79"/>
      <c r="W208" s="79"/>
      <c r="X208" s="79"/>
      <c r="Y208" s="237"/>
      <c r="Z208" s="79"/>
      <c r="AA208" s="79"/>
      <c r="AB208" s="79"/>
      <c r="AC208" s="92"/>
      <c r="AD208" s="79"/>
      <c r="AE208" s="79"/>
      <c r="AF208" s="79"/>
      <c r="AG208" s="237"/>
      <c r="AH208" s="79"/>
      <c r="AI208" s="79"/>
      <c r="AJ208" s="79"/>
      <c r="AK208" s="79"/>
      <c r="AL208" s="79"/>
      <c r="AM208" s="231"/>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v>0.5</v>
      </c>
      <c r="BJ208" s="79"/>
      <c r="BK208" s="79"/>
      <c r="BL208" s="79"/>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hidden="1" outlineLevel="1" x14ac:dyDescent="0.4">
      <c r="A209" s="30" t="str">
        <f>E209&amp;G209</f>
        <v>lt002_instrumentmthd_usd_instrmnt_scp_3</v>
      </c>
      <c r="B209" s="142" t="s">
        <v>26</v>
      </c>
      <c r="C209" s="138" t="s">
        <v>26</v>
      </c>
      <c r="D209" s="253" t="s">
        <v>40</v>
      </c>
      <c r="E209" s="257" t="s">
        <v>380</v>
      </c>
      <c r="F209" s="257"/>
      <c r="G209" s="257" t="s">
        <v>388</v>
      </c>
      <c r="H209" s="255" t="str">
        <f>VLOOKUP(A209,'2. Status Detalhe Campos'!$A$7:$G$574,7,0)</f>
        <v>6. Em implementação (re-especificação)</v>
      </c>
      <c r="I209" s="240">
        <v>45603</v>
      </c>
      <c r="J209" s="238">
        <v>45611</v>
      </c>
      <c r="K209" s="239"/>
      <c r="L209" s="280">
        <f t="array" ref="L209">MIN(IF(V209:CH209&gt;0,$V$16:$CH$16))</f>
        <v>45643</v>
      </c>
      <c r="M209" s="279">
        <f t="array" ref="M209">MAX(IF(V209:CH209&gt;0,$V$16:$CH$16))</f>
        <v>45643</v>
      </c>
      <c r="N209" s="277">
        <f>VLOOKUP(H209,Auxiliar!$B$16:$E$24,4,0)</f>
        <v>0</v>
      </c>
      <c r="O209" s="277">
        <f t="shared" ca="1" si="56"/>
        <v>0</v>
      </c>
      <c r="P209" s="276">
        <f t="shared" ca="1" si="34"/>
        <v>0</v>
      </c>
      <c r="Q209" s="276"/>
      <c r="R209" s="230"/>
      <c r="S209" s="224">
        <v>4.0999999999999996</v>
      </c>
      <c r="T209" s="224">
        <f>ROUND(S209/8,1)</f>
        <v>0.5</v>
      </c>
      <c r="U209" s="224">
        <f>SUM(V209:CH209)-T209</f>
        <v>0</v>
      </c>
      <c r="V209" s="79"/>
      <c r="W209" s="79"/>
      <c r="X209" s="79"/>
      <c r="Y209" s="237"/>
      <c r="Z209" s="79"/>
      <c r="AA209" s="79"/>
      <c r="AB209" s="79"/>
      <c r="AC209" s="92"/>
      <c r="AD209" s="79"/>
      <c r="AE209" s="79"/>
      <c r="AF209" s="79"/>
      <c r="AG209" s="237"/>
      <c r="AH209" s="79"/>
      <c r="AI209" s="79"/>
      <c r="AJ209" s="79"/>
      <c r="AK209" s="79"/>
      <c r="AL209" s="79"/>
      <c r="AM209" s="231"/>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collapsed="1" x14ac:dyDescent="0.4">
      <c r="A210" s="30"/>
      <c r="B210" s="142" t="s">
        <v>26</v>
      </c>
      <c r="C210" s="138" t="s">
        <v>26</v>
      </c>
      <c r="D210" s="134"/>
      <c r="E210" s="263" t="s">
        <v>380</v>
      </c>
      <c r="F210" s="260" t="s">
        <v>2011</v>
      </c>
      <c r="G210" s="261">
        <f>COUNTA(G211:G214)</f>
        <v>4</v>
      </c>
      <c r="H210" s="136"/>
      <c r="I210" s="259">
        <f>MAX(I211)</f>
        <v>45595</v>
      </c>
      <c r="J210" s="258">
        <f>MIN(J211)</f>
        <v>45624</v>
      </c>
      <c r="K210" s="258"/>
      <c r="L210" s="258">
        <f>MIN(L211)</f>
        <v>45645</v>
      </c>
      <c r="M210" s="259">
        <f>MAX(M211)</f>
        <v>45645</v>
      </c>
      <c r="N210" s="282">
        <f>SUMPRODUCT(N211:N214,T211:T214)/SUM(T211:T214)</f>
        <v>0.2</v>
      </c>
      <c r="O210" s="282">
        <f ca="1">SUMPRODUCT(O211:O214,T211:T214)/SUM(T211:T214)</f>
        <v>0.2</v>
      </c>
      <c r="P210" s="276">
        <f t="shared" ref="P210:P232" ca="1" si="57">N210-O210</f>
        <v>0</v>
      </c>
      <c r="Q210" s="287" t="s">
        <v>38</v>
      </c>
      <c r="R210" s="230"/>
      <c r="S210" s="224"/>
      <c r="T210" s="224"/>
      <c r="U210" s="224"/>
      <c r="V210" s="79"/>
      <c r="W210" s="79"/>
      <c r="X210" s="79"/>
      <c r="Y210" s="79"/>
      <c r="Z210" s="79"/>
      <c r="AA210" s="237"/>
      <c r="AB210" s="79"/>
      <c r="AC210" s="92"/>
      <c r="AD210" s="79"/>
      <c r="AE210" s="79"/>
      <c r="AF210" s="79"/>
      <c r="AG210" s="79"/>
      <c r="AH210" s="79"/>
      <c r="AI210" s="79"/>
      <c r="AJ210" s="79"/>
      <c r="AK210" s="79"/>
      <c r="AL210" s="79"/>
      <c r="AM210" s="79"/>
      <c r="AN210" s="79"/>
      <c r="AO210" s="79"/>
      <c r="AP210" s="79"/>
      <c r="AQ210" s="79"/>
      <c r="AR210" s="79"/>
      <c r="AS210" s="79"/>
      <c r="AT210" s="79"/>
      <c r="AU210" s="79"/>
      <c r="AV210" s="231"/>
      <c r="AW210" s="79"/>
      <c r="AX210" s="79"/>
      <c r="AY210" s="79"/>
      <c r="AZ210" s="79"/>
      <c r="BA210" s="79"/>
      <c r="BB210" s="79"/>
      <c r="BC210" s="79"/>
      <c r="BD210" s="79"/>
      <c r="BE210" s="79"/>
      <c r="BF210" s="79"/>
      <c r="BG210" s="79"/>
      <c r="BH210" s="79"/>
      <c r="BI210" s="79"/>
      <c r="BJ210" s="79"/>
      <c r="BK210" s="79"/>
      <c r="BL210" s="266"/>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hidden="1" outlineLevel="1" x14ac:dyDescent="0.4">
      <c r="A211" s="30" t="str">
        <f>E211&amp;G211</f>
        <v>lt002_instrumentrsk_mtgtd_ccp</v>
      </c>
      <c r="B211" s="142" t="s">
        <v>26</v>
      </c>
      <c r="C211" s="138" t="s">
        <v>26</v>
      </c>
      <c r="D211" s="253" t="s">
        <v>40</v>
      </c>
      <c r="E211" s="257" t="s">
        <v>380</v>
      </c>
      <c r="F211" s="257"/>
      <c r="G211" s="257" t="s">
        <v>382</v>
      </c>
      <c r="H211" s="255" t="str">
        <f>VLOOKUP(A211,'2. Status Detalhe Campos'!$A$7:$G$574,7,0)</f>
        <v>6. Em implementação (re-especificação)</v>
      </c>
      <c r="I211" s="153">
        <v>45595</v>
      </c>
      <c r="J211" s="235">
        <v>45624</v>
      </c>
      <c r="K211" s="229"/>
      <c r="L211" s="280">
        <f t="array" ref="L211">MIN(IF(V211:CH211&gt;0,$V$16:$CH$16))</f>
        <v>45645</v>
      </c>
      <c r="M211" s="279">
        <f t="array" ref="M211">MAX(IF(V211:CH211&gt;0,$V$16:$CH$16))</f>
        <v>45645</v>
      </c>
      <c r="N211" s="277">
        <f>VLOOKUP(H211,Auxiliar!$B$16:$E$24,4,0)</f>
        <v>0</v>
      </c>
      <c r="O211" s="277">
        <f t="shared" ref="O211:O214" ca="1" si="58">IF(TODAY()&lt;=L211,0,MIN((TODAY()-L211)/(M211-L211+1),100%))</f>
        <v>0</v>
      </c>
      <c r="P211" s="276">
        <f t="shared" ca="1" si="57"/>
        <v>0</v>
      </c>
      <c r="Q211" s="276"/>
      <c r="R211" s="230"/>
      <c r="S211" s="224">
        <v>4.0999999999999996</v>
      </c>
      <c r="T211" s="224">
        <f>ROUND(S211/8,1)</f>
        <v>0.5</v>
      </c>
      <c r="U211" s="224">
        <f>SUM(V211:CH211)-T211</f>
        <v>0</v>
      </c>
      <c r="V211" s="79"/>
      <c r="W211" s="79"/>
      <c r="X211" s="79"/>
      <c r="Y211" s="79"/>
      <c r="Z211" s="79"/>
      <c r="AA211" s="237"/>
      <c r="AB211" s="79"/>
      <c r="AC211" s="92"/>
      <c r="AD211" s="79"/>
      <c r="AE211" s="79"/>
      <c r="AF211" s="79"/>
      <c r="AG211" s="79"/>
      <c r="AH211" s="79"/>
      <c r="AI211" s="79"/>
      <c r="AJ211" s="79"/>
      <c r="AK211" s="79"/>
      <c r="AL211" s="79"/>
      <c r="AM211" s="79"/>
      <c r="AN211" s="79"/>
      <c r="AO211" s="79"/>
      <c r="AP211" s="79"/>
      <c r="AQ211" s="79"/>
      <c r="AR211" s="79"/>
      <c r="AS211" s="79"/>
      <c r="AT211" s="79"/>
      <c r="AU211" s="79"/>
      <c r="AV211" s="231"/>
      <c r="AW211" s="79"/>
      <c r="AX211" s="79"/>
      <c r="AY211" s="79"/>
      <c r="AZ211" s="79"/>
      <c r="BA211" s="79"/>
      <c r="BB211" s="79"/>
      <c r="BC211" s="79"/>
      <c r="BD211" s="79"/>
      <c r="BE211" s="79"/>
      <c r="BF211" s="79"/>
      <c r="BG211" s="79"/>
      <c r="BH211" s="79"/>
      <c r="BI211" s="79"/>
      <c r="BJ211" s="79"/>
      <c r="BK211" s="79">
        <v>0.5</v>
      </c>
      <c r="BL211" s="79"/>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hidden="1" outlineLevel="1" x14ac:dyDescent="0.4">
      <c r="A212" s="30" t="str">
        <f t="shared" si="54"/>
        <v>lt002_instrumentgrss_intrst_incm</v>
      </c>
      <c r="B212" s="142" t="s">
        <v>26</v>
      </c>
      <c r="C212" s="138" t="s">
        <v>26</v>
      </c>
      <c r="D212" s="253" t="s">
        <v>40</v>
      </c>
      <c r="E212" s="257" t="s">
        <v>380</v>
      </c>
      <c r="F212" s="257"/>
      <c r="G212" s="257" t="s">
        <v>421</v>
      </c>
      <c r="H212" s="255" t="str">
        <f>VLOOKUP(A212,'2. Status Detalhe Campos'!$A$7:$G$574,7,0)</f>
        <v>2.1 Em Teste</v>
      </c>
      <c r="I212" s="153" t="s">
        <v>38</v>
      </c>
      <c r="J212" s="153" t="s">
        <v>38</v>
      </c>
      <c r="K212" s="229"/>
      <c r="L212" s="280">
        <f t="array" ref="L212">MIN(IF(V212:CH212&gt;0,$V$16:$CH$16))</f>
        <v>45609</v>
      </c>
      <c r="M212" s="279">
        <f t="array" ref="M212">MAX(IF(V212:CH212&gt;0,$V$16:$CH$16))</f>
        <v>45610</v>
      </c>
      <c r="N212" s="277">
        <f>VLOOKUP(H212,Auxiliar!$B$16:$E$24,4,0)</f>
        <v>0.25</v>
      </c>
      <c r="O212" s="277">
        <f t="shared" ca="1" si="58"/>
        <v>0.5</v>
      </c>
      <c r="P212" s="276">
        <f t="shared" ca="1" si="57"/>
        <v>-0.25</v>
      </c>
      <c r="Q212" s="276"/>
      <c r="R212" s="230"/>
      <c r="S212" s="241">
        <v>8</v>
      </c>
      <c r="T212" s="224">
        <f>ROUND(S212/8,1)</f>
        <v>1</v>
      </c>
      <c r="U212" s="224">
        <f>SUM(V212:CH212)-T212</f>
        <v>0</v>
      </c>
      <c r="V212" s="79"/>
      <c r="W212" s="79"/>
      <c r="X212" s="79"/>
      <c r="Y212" s="79"/>
      <c r="Z212" s="79"/>
      <c r="AA212" s="79"/>
      <c r="AB212" s="79"/>
      <c r="AC212" s="92"/>
      <c r="AD212" s="79"/>
      <c r="AE212" s="79"/>
      <c r="AF212" s="79"/>
      <c r="AG212" s="79"/>
      <c r="AH212" s="79"/>
      <c r="AI212" s="79"/>
      <c r="AJ212" s="79"/>
      <c r="AK212" s="79">
        <v>0.5</v>
      </c>
      <c r="AL212" s="79">
        <v>0.5</v>
      </c>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hidden="1" outlineLevel="1" x14ac:dyDescent="0.4">
      <c r="A213" s="30" t="str">
        <f t="shared" si="54"/>
        <v>lt002_instrumentgrss_cmmssn_incm</v>
      </c>
      <c r="B213" s="142" t="s">
        <v>26</v>
      </c>
      <c r="C213" s="138" t="s">
        <v>26</v>
      </c>
      <c r="D213" s="253" t="s">
        <v>40</v>
      </c>
      <c r="E213" s="257" t="s">
        <v>380</v>
      </c>
      <c r="F213" s="257"/>
      <c r="G213" s="257" t="s">
        <v>422</v>
      </c>
      <c r="H213" s="255" t="str">
        <f>VLOOKUP(A213,'2. Status Detalhe Campos'!$A$7:$G$574,7,0)</f>
        <v>2.1 Em Teste</v>
      </c>
      <c r="I213" s="153" t="s">
        <v>38</v>
      </c>
      <c r="J213" s="153" t="s">
        <v>38</v>
      </c>
      <c r="K213" s="229"/>
      <c r="L213" s="280">
        <f t="array" ref="L213">MIN(IF(V213:CH213&gt;0,$V$16:$CH$16))</f>
        <v>45610</v>
      </c>
      <c r="M213" s="279">
        <f t="array" ref="M213">MAX(IF(V213:CH213&gt;0,$V$16:$CH$16))</f>
        <v>45610</v>
      </c>
      <c r="N213" s="277">
        <f>VLOOKUP(H213,Auxiliar!$B$16:$E$24,4,0)</f>
        <v>0.25</v>
      </c>
      <c r="O213" s="277">
        <f t="shared" ca="1" si="58"/>
        <v>0</v>
      </c>
      <c r="P213" s="276">
        <f t="shared" ca="1" si="57"/>
        <v>0.25</v>
      </c>
      <c r="Q213" s="276"/>
      <c r="R213" s="230"/>
      <c r="S213" s="241">
        <v>4</v>
      </c>
      <c r="T213" s="224">
        <f>ROUND(S213/8,1)</f>
        <v>0.5</v>
      </c>
      <c r="U213" s="224">
        <f>SUM(V213:CH213)-T213</f>
        <v>0</v>
      </c>
      <c r="V213" s="79"/>
      <c r="W213" s="79"/>
      <c r="X213" s="79"/>
      <c r="Y213" s="79"/>
      <c r="Z213" s="79"/>
      <c r="AA213" s="79"/>
      <c r="AB213" s="79"/>
      <c r="AC213" s="92"/>
      <c r="AD213" s="79"/>
      <c r="AE213" s="79"/>
      <c r="AF213" s="79"/>
      <c r="AG213" s="79"/>
      <c r="AH213" s="79"/>
      <c r="AI213" s="79"/>
      <c r="AJ213" s="79"/>
      <c r="AK213" s="79"/>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hidden="1" outlineLevel="1" x14ac:dyDescent="0.4">
      <c r="A214" s="30" t="str">
        <f t="shared" si="54"/>
        <v>lt002_instrumentgrss_cmmssn_incm_off_blnc</v>
      </c>
      <c r="B214" s="142" t="s">
        <v>26</v>
      </c>
      <c r="C214" s="138" t="s">
        <v>26</v>
      </c>
      <c r="D214" s="253" t="s">
        <v>40</v>
      </c>
      <c r="E214" s="257" t="s">
        <v>380</v>
      </c>
      <c r="F214" s="257"/>
      <c r="G214" s="257" t="s">
        <v>423</v>
      </c>
      <c r="H214" s="255" t="str">
        <f>VLOOKUP(A214,'2. Status Detalhe Campos'!$A$7:$G$574,7,0)</f>
        <v>2.1 Em Teste</v>
      </c>
      <c r="I214" s="153" t="s">
        <v>38</v>
      </c>
      <c r="J214" s="153" t="s">
        <v>38</v>
      </c>
      <c r="K214" s="229"/>
      <c r="L214" s="280">
        <f t="array" ref="L214">MIN(IF(V214:CH214&gt;0,$V$16:$CH$16))</f>
        <v>45611</v>
      </c>
      <c r="M214" s="279">
        <f t="array" ref="M214">MAX(IF(V214:CH214&gt;0,$V$16:$CH$16))</f>
        <v>45611</v>
      </c>
      <c r="N214" s="277">
        <f>VLOOKUP(H214,Auxiliar!$B$16:$E$24,4,0)</f>
        <v>0.25</v>
      </c>
      <c r="O214" s="277">
        <f t="shared" ca="1" si="58"/>
        <v>0</v>
      </c>
      <c r="P214" s="276">
        <f t="shared" ca="1" si="57"/>
        <v>0.25</v>
      </c>
      <c r="Q214" s="276"/>
      <c r="R214" s="230"/>
      <c r="S214" s="241">
        <v>4</v>
      </c>
      <c r="T214" s="224">
        <f>ROUND(S214/8,1)</f>
        <v>0.5</v>
      </c>
      <c r="U214" s="224">
        <f>SUM(V214:CH214)-T214</f>
        <v>0</v>
      </c>
      <c r="V214" s="79"/>
      <c r="W214" s="79"/>
      <c r="X214" s="79"/>
      <c r="Y214" s="79"/>
      <c r="Z214" s="79"/>
      <c r="AA214" s="79"/>
      <c r="AB214" s="79"/>
      <c r="AC214" s="92"/>
      <c r="AD214" s="79"/>
      <c r="AE214" s="79"/>
      <c r="AF214" s="79"/>
      <c r="AG214" s="79"/>
      <c r="AH214" s="79"/>
      <c r="AI214" s="79"/>
      <c r="AJ214" s="79"/>
      <c r="AK214" s="79"/>
      <c r="AL214" s="79"/>
      <c r="AM214" s="79">
        <v>0.5</v>
      </c>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collapsed="1" x14ac:dyDescent="0.4">
      <c r="A215" s="30"/>
      <c r="B215" s="142" t="s">
        <v>26</v>
      </c>
      <c r="C215" s="138" t="s">
        <v>26</v>
      </c>
      <c r="D215" s="134"/>
      <c r="E215" s="263" t="s">
        <v>1966</v>
      </c>
      <c r="F215" s="260" t="s">
        <v>2014</v>
      </c>
      <c r="G215" s="261">
        <f>COUNTA(G216:G225)</f>
        <v>10</v>
      </c>
      <c r="H215" s="136"/>
      <c r="I215" s="264">
        <f>MAX(I216:I225)</f>
        <v>45603</v>
      </c>
      <c r="J215" s="262">
        <f>MIN(J216:J225)</f>
        <v>45611</v>
      </c>
      <c r="K215" s="239"/>
      <c r="L215" s="259">
        <f>MIN(L216:L225)</f>
        <v>45636</v>
      </c>
      <c r="M215" s="259">
        <f>MAX(M216:M225)</f>
        <v>45642</v>
      </c>
      <c r="N215" s="282">
        <f>SUMPRODUCT(N216:N225,T216:T225)/SUM(T216:T225)</f>
        <v>0</v>
      </c>
      <c r="O215" s="282">
        <f ca="1">SUMPRODUCT(O216:O225,T216:T225)/SUM(T216:T225)</f>
        <v>0</v>
      </c>
      <c r="P215" s="276">
        <f t="shared" ca="1" si="57"/>
        <v>0</v>
      </c>
      <c r="Q215" s="287" t="s">
        <v>2031</v>
      </c>
      <c r="R215" s="230"/>
      <c r="S215" s="224"/>
      <c r="T215" s="224"/>
      <c r="U215" s="224"/>
      <c r="V215" s="79"/>
      <c r="W215" s="79"/>
      <c r="X215" s="79"/>
      <c r="Y215" s="237"/>
      <c r="Z215" s="79"/>
      <c r="AA215" s="79"/>
      <c r="AB215" s="79"/>
      <c r="AC215" s="92"/>
      <c r="AD215" s="79"/>
      <c r="AE215" s="79"/>
      <c r="AF215" s="79"/>
      <c r="AG215" s="237"/>
      <c r="AH215" s="79"/>
      <c r="AI215" s="79"/>
      <c r="AJ215" s="79"/>
      <c r="AK215" s="79"/>
      <c r="AL215" s="79"/>
      <c r="AM215" s="231"/>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266"/>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hidden="1" outlineLevel="1" x14ac:dyDescent="0.4">
      <c r="A216" s="30" t="str">
        <f t="shared" ref="A216:A225" si="59">E216&amp;G216</f>
        <v>lt827_mthd_usd_instrmntambito</v>
      </c>
      <c r="B216" s="142" t="s">
        <v>26</v>
      </c>
      <c r="C216" s="138" t="s">
        <v>26</v>
      </c>
      <c r="D216" s="253" t="s">
        <v>40</v>
      </c>
      <c r="E216" s="257" t="s">
        <v>1966</v>
      </c>
      <c r="F216" s="257"/>
      <c r="G216" s="257" t="s">
        <v>391</v>
      </c>
      <c r="H216" s="255" t="str">
        <f>VLOOKUP(A216,'2. Status Detalhe Campos'!$A$7:$G$574,7,0)</f>
        <v>6. Em implementação (re-especificação)</v>
      </c>
      <c r="I216" s="240">
        <v>45603</v>
      </c>
      <c r="J216" s="238">
        <v>45611</v>
      </c>
      <c r="K216" s="239"/>
      <c r="L216" s="280">
        <f t="array" ref="L216">MIN(IF(V216:CH216&gt;0,$V$16:$CH$16))</f>
        <v>45636</v>
      </c>
      <c r="M216" s="279">
        <f t="array" ref="M216">MAX(IF(V216:CH216&gt;0,$V$16:$CH$16))</f>
        <v>45636</v>
      </c>
      <c r="N216" s="277">
        <f>VLOOKUP(H216,Auxiliar!$B$16:$E$24,4,0)</f>
        <v>0</v>
      </c>
      <c r="O216" s="277">
        <f t="shared" ref="O216:O225" ca="1" si="60">IF(TODAY()&lt;=L216,0,MIN((TODAY()-L216)/(M216-L216+1),100%))</f>
        <v>0</v>
      </c>
      <c r="P216" s="276">
        <f t="shared" ca="1" si="57"/>
        <v>0</v>
      </c>
      <c r="Q216" s="287" t="s">
        <v>38</v>
      </c>
      <c r="R216" s="230"/>
      <c r="S216" s="224">
        <v>4.0999999999999996</v>
      </c>
      <c r="T216" s="224">
        <f t="shared" si="40"/>
        <v>0.5</v>
      </c>
      <c r="U216" s="224">
        <f t="shared" ref="U216:U225" si="61">SUM(V216:CH216)-T216</f>
        <v>0</v>
      </c>
      <c r="V216" s="79"/>
      <c r="W216" s="79"/>
      <c r="X216" s="79"/>
      <c r="Y216" s="237"/>
      <c r="Z216" s="79"/>
      <c r="AA216" s="79"/>
      <c r="AB216" s="79"/>
      <c r="AC216" s="92"/>
      <c r="AD216" s="79"/>
      <c r="AE216" s="79"/>
      <c r="AF216" s="79"/>
      <c r="AG216" s="237"/>
      <c r="AH216" s="79"/>
      <c r="AI216" s="79"/>
      <c r="AJ216" s="79"/>
      <c r="AK216" s="79"/>
      <c r="AL216" s="79"/>
      <c r="AM216" s="231"/>
      <c r="AN216" s="79"/>
      <c r="AO216" s="79"/>
      <c r="AP216" s="79"/>
      <c r="AQ216" s="79"/>
      <c r="AR216" s="79"/>
      <c r="AS216" s="79"/>
      <c r="AT216" s="79"/>
      <c r="AU216" s="79"/>
      <c r="AV216" s="79"/>
      <c r="AW216" s="79"/>
      <c r="AX216" s="79"/>
      <c r="AY216" s="79"/>
      <c r="AZ216" s="79"/>
      <c r="BA216" s="79"/>
      <c r="BB216" s="79"/>
      <c r="BC216" s="79"/>
      <c r="BD216" s="79">
        <v>0.5</v>
      </c>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hidden="1" outlineLevel="1" x14ac:dyDescent="0.4">
      <c r="A217" s="30" t="str">
        <f t="shared" si="59"/>
        <v>lt827_mthd_usd_instrmntref_date</v>
      </c>
      <c r="B217" s="142" t="s">
        <v>26</v>
      </c>
      <c r="C217" s="138" t="s">
        <v>26</v>
      </c>
      <c r="D217" s="253" t="s">
        <v>40</v>
      </c>
      <c r="E217" s="257" t="s">
        <v>1966</v>
      </c>
      <c r="F217" s="257"/>
      <c r="G217" s="257" t="s">
        <v>208</v>
      </c>
      <c r="H217" s="255" t="str">
        <f>VLOOKUP(A217,'2. Status Detalhe Campos'!$A$7:$G$574,7,0)</f>
        <v>6. Em implementação (re-especificação)</v>
      </c>
      <c r="I217" s="240">
        <v>45603</v>
      </c>
      <c r="J217" s="238">
        <v>45611</v>
      </c>
      <c r="K217" s="239"/>
      <c r="L217" s="280">
        <f t="array" ref="L217">MIN(IF(V217:CH217&gt;0,$V$16:$CH$16))</f>
        <v>45636</v>
      </c>
      <c r="M217" s="279">
        <f t="array" ref="M217">MAX(IF(V217:CH217&gt;0,$V$16:$CH$16))</f>
        <v>45636</v>
      </c>
      <c r="N217" s="277">
        <f>VLOOKUP(H217,Auxiliar!$B$16:$E$24,4,0)</f>
        <v>0</v>
      </c>
      <c r="O217" s="277">
        <f t="shared" ca="1" si="60"/>
        <v>0</v>
      </c>
      <c r="P217" s="276">
        <f t="shared" ca="1" si="57"/>
        <v>0</v>
      </c>
      <c r="Q217" s="287" t="s">
        <v>38</v>
      </c>
      <c r="R217" s="230"/>
      <c r="S217" s="224">
        <v>4.0999999999999996</v>
      </c>
      <c r="T217" s="224">
        <f t="shared" si="40"/>
        <v>0.5</v>
      </c>
      <c r="U217" s="224">
        <f t="shared" si="61"/>
        <v>0</v>
      </c>
      <c r="V217" s="79"/>
      <c r="W217" s="79"/>
      <c r="X217" s="79"/>
      <c r="Y217" s="237"/>
      <c r="Z217" s="79"/>
      <c r="AA217" s="79"/>
      <c r="AB217" s="79"/>
      <c r="AC217" s="92"/>
      <c r="AD217" s="79"/>
      <c r="AE217" s="79"/>
      <c r="AF217" s="79"/>
      <c r="AG217" s="237"/>
      <c r="AH217" s="79"/>
      <c r="AI217" s="79"/>
      <c r="AJ217" s="79"/>
      <c r="AK217" s="79"/>
      <c r="AL217" s="79"/>
      <c r="AM217" s="231"/>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hidden="1" outlineLevel="1" x14ac:dyDescent="0.4">
      <c r="A218" s="30" t="str">
        <f t="shared" si="59"/>
        <v>lt827_mthd_usd_instrmntordem</v>
      </c>
      <c r="B218" s="142" t="s">
        <v>26</v>
      </c>
      <c r="C218" s="138" t="s">
        <v>26</v>
      </c>
      <c r="D218" s="253" t="s">
        <v>40</v>
      </c>
      <c r="E218" s="257" t="s">
        <v>1966</v>
      </c>
      <c r="F218" s="257"/>
      <c r="G218" s="257" t="s">
        <v>211</v>
      </c>
      <c r="H218" s="255" t="str">
        <f>VLOOKUP(A218,'2. Status Detalhe Campos'!$A$7:$G$574,7,0)</f>
        <v>6. Em implementação (re-especificação)</v>
      </c>
      <c r="I218" s="240">
        <v>45603</v>
      </c>
      <c r="J218" s="238">
        <v>45611</v>
      </c>
      <c r="K218" s="239"/>
      <c r="L218" s="280">
        <f t="array" ref="L218">MIN(IF(V218:CH218&gt;0,$V$16:$CH$16))</f>
        <v>45637</v>
      </c>
      <c r="M218" s="279">
        <f t="array" ref="M218">MAX(IF(V218:CH218&gt;0,$V$16:$CH$16))</f>
        <v>45637</v>
      </c>
      <c r="N218" s="277">
        <f>VLOOKUP(H218,Auxiliar!$B$16:$E$24,4,0)</f>
        <v>0</v>
      </c>
      <c r="O218" s="277">
        <f t="shared" ca="1" si="60"/>
        <v>0</v>
      </c>
      <c r="P218" s="276">
        <f t="shared" ca="1" si="57"/>
        <v>0</v>
      </c>
      <c r="Q218" s="287" t="s">
        <v>38</v>
      </c>
      <c r="R218" s="230"/>
      <c r="S218" s="224">
        <v>4.0999999999999996</v>
      </c>
      <c r="T218" s="224">
        <f t="shared" si="40"/>
        <v>0.5</v>
      </c>
      <c r="U218" s="224">
        <f t="shared" si="61"/>
        <v>0</v>
      </c>
      <c r="V218" s="79"/>
      <c r="W218" s="79"/>
      <c r="X218" s="79"/>
      <c r="Y218" s="237"/>
      <c r="Z218" s="79"/>
      <c r="AA218" s="79"/>
      <c r="AB218" s="79"/>
      <c r="AC218" s="92"/>
      <c r="AD218" s="79"/>
      <c r="AE218" s="79"/>
      <c r="AF218" s="79"/>
      <c r="AG218" s="237"/>
      <c r="AH218" s="79"/>
      <c r="AI218" s="79"/>
      <c r="AJ218" s="79"/>
      <c r="AK218" s="79"/>
      <c r="AL218" s="79"/>
      <c r="AM218" s="231"/>
      <c r="AN218" s="79"/>
      <c r="AO218" s="79"/>
      <c r="AP218" s="79"/>
      <c r="AQ218" s="79"/>
      <c r="AR218" s="79"/>
      <c r="AS218" s="79"/>
      <c r="AT218" s="79"/>
      <c r="AU218" s="79"/>
      <c r="AV218" s="79"/>
      <c r="AW218" s="79"/>
      <c r="AX218" s="79"/>
      <c r="AY218" s="79"/>
      <c r="AZ218" s="79"/>
      <c r="BA218" s="79"/>
      <c r="BB218" s="79"/>
      <c r="BC218" s="79"/>
      <c r="BD218" s="79"/>
      <c r="BE218" s="79">
        <v>0.5</v>
      </c>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hidden="1" outlineLevel="1" x14ac:dyDescent="0.4">
      <c r="A219" s="30" t="str">
        <f t="shared" si="59"/>
        <v>lt827_mthd_usd_instrmnttabela</v>
      </c>
      <c r="B219" s="142" t="s">
        <v>26</v>
      </c>
      <c r="C219" s="138" t="s">
        <v>26</v>
      </c>
      <c r="D219" s="253" t="s">
        <v>40</v>
      </c>
      <c r="E219" s="257" t="s">
        <v>1966</v>
      </c>
      <c r="F219" s="257"/>
      <c r="G219" s="257" t="s">
        <v>392</v>
      </c>
      <c r="H219" s="255" t="str">
        <f>VLOOKUP(A219,'2. Status Detalhe Campos'!$A$7:$G$574,7,0)</f>
        <v>6. Em implementação (re-especificação)</v>
      </c>
      <c r="I219" s="240">
        <v>45603</v>
      </c>
      <c r="J219" s="238">
        <v>45611</v>
      </c>
      <c r="K219" s="239"/>
      <c r="L219" s="280">
        <f t="array" ref="L219">MIN(IF(V219:CH219&gt;0,$V$16:$CH$16))</f>
        <v>45637</v>
      </c>
      <c r="M219" s="279">
        <f t="array" ref="M219">MAX(IF(V219:CH219&gt;0,$V$16:$CH$16))</f>
        <v>45637</v>
      </c>
      <c r="N219" s="277">
        <f>VLOOKUP(H219,Auxiliar!$B$16:$E$24,4,0)</f>
        <v>0</v>
      </c>
      <c r="O219" s="277">
        <f t="shared" ca="1" si="60"/>
        <v>0</v>
      </c>
      <c r="P219" s="276">
        <f t="shared" ca="1" si="57"/>
        <v>0</v>
      </c>
      <c r="Q219" s="287" t="s">
        <v>38</v>
      </c>
      <c r="R219" s="230"/>
      <c r="S219" s="224">
        <v>4.0999999999999996</v>
      </c>
      <c r="T219" s="224">
        <f t="shared" si="40"/>
        <v>0.5</v>
      </c>
      <c r="U219" s="224">
        <f t="shared" si="61"/>
        <v>0</v>
      </c>
      <c r="V219" s="79"/>
      <c r="W219" s="79"/>
      <c r="X219" s="79"/>
      <c r="Y219" s="237"/>
      <c r="Z219" s="79"/>
      <c r="AA219" s="79"/>
      <c r="AB219" s="79"/>
      <c r="AC219" s="92"/>
      <c r="AD219" s="79"/>
      <c r="AE219" s="79"/>
      <c r="AF219" s="79"/>
      <c r="AG219" s="237"/>
      <c r="AH219" s="79"/>
      <c r="AI219" s="79"/>
      <c r="AJ219" s="79"/>
      <c r="AK219" s="79"/>
      <c r="AL219" s="79"/>
      <c r="AM219" s="231"/>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hidden="1" outlineLevel="1" x14ac:dyDescent="0.4">
      <c r="A220" s="30" t="str">
        <f t="shared" si="59"/>
        <v>lt827_mthd_usd_instrmntorigem_scp1_emss</v>
      </c>
      <c r="B220" s="142" t="s">
        <v>26</v>
      </c>
      <c r="C220" s="138" t="s">
        <v>26</v>
      </c>
      <c r="D220" s="253" t="s">
        <v>40</v>
      </c>
      <c r="E220" s="257" t="s">
        <v>1966</v>
      </c>
      <c r="F220" s="257"/>
      <c r="G220" s="257" t="s">
        <v>320</v>
      </c>
      <c r="H220" s="255" t="str">
        <f>VLOOKUP(A220,'2. Status Detalhe Campos'!$A$7:$G$574,7,0)</f>
        <v>6. Em implementação (re-especificação)</v>
      </c>
      <c r="I220" s="240">
        <v>45603</v>
      </c>
      <c r="J220" s="238">
        <v>45611</v>
      </c>
      <c r="K220" s="239"/>
      <c r="L220" s="280">
        <f t="array" ref="L220">MIN(IF(V220:CH220&gt;0,$V$16:$CH$16))</f>
        <v>45638</v>
      </c>
      <c r="M220" s="279">
        <f t="array" ref="M220">MAX(IF(V220:CH220&gt;0,$V$16:$CH$16))</f>
        <v>45638</v>
      </c>
      <c r="N220" s="277">
        <f>VLOOKUP(H220,Auxiliar!$B$16:$E$24,4,0)</f>
        <v>0</v>
      </c>
      <c r="O220" s="277">
        <f t="shared" ca="1" si="60"/>
        <v>0</v>
      </c>
      <c r="P220" s="276">
        <f t="shared" ca="1" si="57"/>
        <v>0</v>
      </c>
      <c r="Q220" s="287" t="s">
        <v>38</v>
      </c>
      <c r="R220" s="230"/>
      <c r="S220" s="224">
        <v>4.0999999999999996</v>
      </c>
      <c r="T220" s="224">
        <f t="shared" si="40"/>
        <v>0.5</v>
      </c>
      <c r="U220" s="224">
        <f t="shared" si="61"/>
        <v>0</v>
      </c>
      <c r="V220" s="79"/>
      <c r="W220" s="79"/>
      <c r="X220" s="79"/>
      <c r="Y220" s="237"/>
      <c r="Z220" s="79"/>
      <c r="AA220" s="79"/>
      <c r="AB220" s="79"/>
      <c r="AC220" s="92"/>
      <c r="AD220" s="79"/>
      <c r="AE220" s="79"/>
      <c r="AF220" s="79"/>
      <c r="AG220" s="237"/>
      <c r="AH220" s="79"/>
      <c r="AI220" s="79"/>
      <c r="AJ220" s="79"/>
      <c r="AK220" s="79"/>
      <c r="AL220" s="79"/>
      <c r="AM220" s="231"/>
      <c r="AN220" s="79"/>
      <c r="AO220" s="79"/>
      <c r="AP220" s="79"/>
      <c r="AQ220" s="79"/>
      <c r="AR220" s="79"/>
      <c r="AS220" s="79"/>
      <c r="AT220" s="79"/>
      <c r="AU220" s="79"/>
      <c r="AV220" s="79"/>
      <c r="AW220" s="79"/>
      <c r="AX220" s="79"/>
      <c r="AY220" s="79"/>
      <c r="AZ220" s="79"/>
      <c r="BA220" s="79"/>
      <c r="BB220" s="79"/>
      <c r="BC220" s="79"/>
      <c r="BD220" s="79"/>
      <c r="BE220" s="79"/>
      <c r="BF220" s="79">
        <v>0.5</v>
      </c>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hidden="1" outlineLevel="1" x14ac:dyDescent="0.4">
      <c r="A221" s="30" t="str">
        <f t="shared" si="59"/>
        <v>lt827_mthd_usd_instrmntorigem_scp2_emss</v>
      </c>
      <c r="B221" s="142" t="s">
        <v>26</v>
      </c>
      <c r="C221" s="138" t="s">
        <v>26</v>
      </c>
      <c r="D221" s="253" t="s">
        <v>40</v>
      </c>
      <c r="E221" s="257" t="s">
        <v>1966</v>
      </c>
      <c r="F221" s="257"/>
      <c r="G221" s="257" t="s">
        <v>321</v>
      </c>
      <c r="H221" s="255" t="str">
        <f>VLOOKUP(A221,'2. Status Detalhe Campos'!$A$7:$G$574,7,0)</f>
        <v>6. Em implementação (re-especificação)</v>
      </c>
      <c r="I221" s="240">
        <v>45603</v>
      </c>
      <c r="J221" s="238">
        <v>45611</v>
      </c>
      <c r="K221" s="239"/>
      <c r="L221" s="280">
        <f t="array" ref="L221">MIN(IF(V221:CH221&gt;0,$V$16:$CH$16))</f>
        <v>45638</v>
      </c>
      <c r="M221" s="279">
        <f t="array" ref="M221">MAX(IF(V221:CH221&gt;0,$V$16:$CH$16))</f>
        <v>45638</v>
      </c>
      <c r="N221" s="277">
        <f>VLOOKUP(H221,Auxiliar!$B$16:$E$24,4,0)</f>
        <v>0</v>
      </c>
      <c r="O221" s="277">
        <f t="shared" ca="1" si="60"/>
        <v>0</v>
      </c>
      <c r="P221" s="276">
        <f t="shared" ca="1" si="57"/>
        <v>0</v>
      </c>
      <c r="Q221" s="287" t="s">
        <v>38</v>
      </c>
      <c r="R221" s="230"/>
      <c r="S221" s="224">
        <v>4.0999999999999996</v>
      </c>
      <c r="T221" s="224">
        <f t="shared" si="40"/>
        <v>0.5</v>
      </c>
      <c r="U221" s="224">
        <f t="shared" si="61"/>
        <v>0</v>
      </c>
      <c r="V221" s="79"/>
      <c r="W221" s="79"/>
      <c r="X221" s="79"/>
      <c r="Y221" s="237"/>
      <c r="Z221" s="79"/>
      <c r="AA221" s="79"/>
      <c r="AB221" s="79"/>
      <c r="AC221" s="92"/>
      <c r="AD221" s="79"/>
      <c r="AE221" s="79"/>
      <c r="AF221" s="79"/>
      <c r="AG221" s="237"/>
      <c r="AH221" s="79"/>
      <c r="AI221" s="79"/>
      <c r="AJ221" s="79"/>
      <c r="AK221" s="79"/>
      <c r="AL221" s="79"/>
      <c r="AM221" s="231"/>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hidden="1" outlineLevel="1" x14ac:dyDescent="0.4">
      <c r="A222" s="30" t="str">
        <f t="shared" si="59"/>
        <v>lt827_mthd_usd_instrmntorigem_scp3_emss</v>
      </c>
      <c r="B222" s="142" t="s">
        <v>26</v>
      </c>
      <c r="C222" s="138" t="s">
        <v>26</v>
      </c>
      <c r="D222" s="253" t="s">
        <v>40</v>
      </c>
      <c r="E222" s="257" t="s">
        <v>1966</v>
      </c>
      <c r="F222" s="257"/>
      <c r="G222" s="257" t="s">
        <v>322</v>
      </c>
      <c r="H222" s="255" t="str">
        <f>VLOOKUP(A222,'2. Status Detalhe Campos'!$A$7:$G$574,7,0)</f>
        <v>6. Em implementação (re-especificação)</v>
      </c>
      <c r="I222" s="240">
        <v>45603</v>
      </c>
      <c r="J222" s="238">
        <v>45611</v>
      </c>
      <c r="K222" s="239"/>
      <c r="L222" s="280">
        <f t="array" ref="L222">MIN(IF(V222:CH222&gt;0,$V$16:$CH$16))</f>
        <v>45639</v>
      </c>
      <c r="M222" s="279">
        <f t="array" ref="M222">MAX(IF(V222:CH222&gt;0,$V$16:$CH$16))</f>
        <v>45639</v>
      </c>
      <c r="N222" s="277">
        <f>VLOOKUP(H222,Auxiliar!$B$16:$E$24,4,0)</f>
        <v>0</v>
      </c>
      <c r="O222" s="277">
        <f t="shared" ca="1" si="60"/>
        <v>0</v>
      </c>
      <c r="P222" s="276">
        <f t="shared" ca="1" si="57"/>
        <v>0</v>
      </c>
      <c r="Q222" s="287" t="s">
        <v>38</v>
      </c>
      <c r="R222" s="230"/>
      <c r="S222" s="224">
        <v>4.0999999999999996</v>
      </c>
      <c r="T222" s="224">
        <f t="shared" si="40"/>
        <v>0.5</v>
      </c>
      <c r="U222" s="224">
        <f t="shared" si="61"/>
        <v>0</v>
      </c>
      <c r="V222" s="79"/>
      <c r="W222" s="79"/>
      <c r="X222" s="79"/>
      <c r="Y222" s="237"/>
      <c r="Z222" s="79"/>
      <c r="AA222" s="79"/>
      <c r="AB222" s="79"/>
      <c r="AC222" s="92"/>
      <c r="AD222" s="79"/>
      <c r="AE222" s="79"/>
      <c r="AF222" s="79"/>
      <c r="AG222" s="237"/>
      <c r="AH222" s="79"/>
      <c r="AI222" s="79"/>
      <c r="AJ222" s="79"/>
      <c r="AK222" s="79"/>
      <c r="AL222" s="79"/>
      <c r="AM222" s="231"/>
      <c r="AN222" s="79"/>
      <c r="AO222" s="79"/>
      <c r="AP222" s="79"/>
      <c r="AQ222" s="79"/>
      <c r="AR222" s="79"/>
      <c r="AS222" s="79"/>
      <c r="AT222" s="79"/>
      <c r="AU222" s="79"/>
      <c r="AV222" s="79"/>
      <c r="AW222" s="79"/>
      <c r="AX222" s="79"/>
      <c r="AY222" s="79"/>
      <c r="AZ222" s="79"/>
      <c r="BA222" s="79"/>
      <c r="BB222" s="79"/>
      <c r="BC222" s="79"/>
      <c r="BD222" s="79"/>
      <c r="BE222" s="79"/>
      <c r="BF222" s="79"/>
      <c r="BG222" s="79">
        <v>0.5</v>
      </c>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hidden="1" outlineLevel="1" x14ac:dyDescent="0.4">
      <c r="A223" s="30" t="str">
        <f t="shared" si="59"/>
        <v>lt827_mthd_usd_instrmntmthd_usd_instrmnt_scp_1</v>
      </c>
      <c r="B223" s="142" t="s">
        <v>26</v>
      </c>
      <c r="C223" s="138" t="s">
        <v>26</v>
      </c>
      <c r="D223" s="253" t="s">
        <v>40</v>
      </c>
      <c r="E223" s="257" t="s">
        <v>1966</v>
      </c>
      <c r="F223" s="257"/>
      <c r="G223" s="257" t="s">
        <v>386</v>
      </c>
      <c r="H223" s="255" t="str">
        <f>VLOOKUP(A223,'2. Status Detalhe Campos'!$A$7:$G$574,7,0)</f>
        <v>6. Em implementação (re-especificação)</v>
      </c>
      <c r="I223" s="240">
        <v>45603</v>
      </c>
      <c r="J223" s="238">
        <v>45611</v>
      </c>
      <c r="K223" s="239"/>
      <c r="L223" s="280">
        <f t="array" ref="L223">MIN(IF(V223:CH223&gt;0,$V$16:$CH$16))</f>
        <v>45639</v>
      </c>
      <c r="M223" s="279">
        <f t="array" ref="M223">MAX(IF(V223:CH223&gt;0,$V$16:$CH$16))</f>
        <v>45639</v>
      </c>
      <c r="N223" s="277">
        <f>VLOOKUP(H223,Auxiliar!$B$16:$E$24,4,0)</f>
        <v>0</v>
      </c>
      <c r="O223" s="277">
        <f t="shared" ca="1" si="60"/>
        <v>0</v>
      </c>
      <c r="P223" s="276">
        <f t="shared" ca="1" si="57"/>
        <v>0</v>
      </c>
      <c r="Q223" s="287" t="s">
        <v>38</v>
      </c>
      <c r="R223" s="230"/>
      <c r="S223" s="224">
        <v>4.0999999999999996</v>
      </c>
      <c r="T223" s="224">
        <f t="shared" si="40"/>
        <v>0.5</v>
      </c>
      <c r="U223" s="224">
        <f t="shared" si="61"/>
        <v>0</v>
      </c>
      <c r="V223" s="79"/>
      <c r="W223" s="79"/>
      <c r="X223" s="79"/>
      <c r="Y223" s="237"/>
      <c r="Z223" s="79"/>
      <c r="AA223" s="79"/>
      <c r="AB223" s="79"/>
      <c r="AC223" s="92"/>
      <c r="AD223" s="79"/>
      <c r="AE223" s="79"/>
      <c r="AF223" s="79"/>
      <c r="AG223" s="237"/>
      <c r="AH223" s="79"/>
      <c r="AI223" s="79"/>
      <c r="AJ223" s="79"/>
      <c r="AK223" s="79"/>
      <c r="AL223" s="79"/>
      <c r="AM223" s="231"/>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hidden="1" outlineLevel="1" x14ac:dyDescent="0.4">
      <c r="A224" s="30" t="str">
        <f t="shared" si="59"/>
        <v>lt827_mthd_usd_instrmntmthd_usd_instrmnt_scp_2</v>
      </c>
      <c r="B224" s="142" t="s">
        <v>26</v>
      </c>
      <c r="C224" s="138" t="s">
        <v>26</v>
      </c>
      <c r="D224" s="253" t="s">
        <v>40</v>
      </c>
      <c r="E224" s="257" t="s">
        <v>1966</v>
      </c>
      <c r="F224" s="257"/>
      <c r="G224" s="257" t="s">
        <v>387</v>
      </c>
      <c r="H224" s="255" t="str">
        <f>VLOOKUP(A224,'2. Status Detalhe Campos'!$A$7:$G$574,7,0)</f>
        <v>6. Em implementação (re-especificação)</v>
      </c>
      <c r="I224" s="240">
        <v>45603</v>
      </c>
      <c r="J224" s="238">
        <v>45611</v>
      </c>
      <c r="K224" s="239"/>
      <c r="L224" s="280">
        <f t="array" ref="L224">MIN(IF(V224:CH224&gt;0,$V$16:$CH$16))</f>
        <v>45642</v>
      </c>
      <c r="M224" s="279">
        <f t="array" ref="M224">MAX(IF(V224:CH224&gt;0,$V$16:$CH$16))</f>
        <v>45642</v>
      </c>
      <c r="N224" s="277">
        <f>VLOOKUP(H224,Auxiliar!$B$16:$E$24,4,0)</f>
        <v>0</v>
      </c>
      <c r="O224" s="277">
        <f t="shared" ca="1" si="60"/>
        <v>0</v>
      </c>
      <c r="P224" s="276">
        <f t="shared" ca="1" si="57"/>
        <v>0</v>
      </c>
      <c r="Q224" s="287" t="s">
        <v>38</v>
      </c>
      <c r="R224" s="230"/>
      <c r="S224" s="224">
        <v>4.0999999999999996</v>
      </c>
      <c r="T224" s="224">
        <f t="shared" si="40"/>
        <v>0.5</v>
      </c>
      <c r="U224" s="224">
        <f t="shared" si="61"/>
        <v>0</v>
      </c>
      <c r="V224" s="79"/>
      <c r="W224" s="79"/>
      <c r="X224" s="79"/>
      <c r="Y224" s="237"/>
      <c r="Z224" s="79"/>
      <c r="AA224" s="79"/>
      <c r="AB224" s="79"/>
      <c r="AC224" s="92"/>
      <c r="AD224" s="79"/>
      <c r="AE224" s="79"/>
      <c r="AF224" s="79"/>
      <c r="AG224" s="237"/>
      <c r="AH224" s="79"/>
      <c r="AI224" s="79"/>
      <c r="AJ224" s="79"/>
      <c r="AK224" s="79"/>
      <c r="AL224" s="79"/>
      <c r="AM224" s="231"/>
      <c r="AN224" s="79"/>
      <c r="AO224" s="79"/>
      <c r="AP224" s="79"/>
      <c r="AQ224" s="79"/>
      <c r="AR224" s="79"/>
      <c r="AS224" s="79"/>
      <c r="AT224" s="79"/>
      <c r="AU224" s="79"/>
      <c r="AV224" s="79"/>
      <c r="AW224" s="79"/>
      <c r="AX224" s="79"/>
      <c r="AY224" s="79"/>
      <c r="AZ224" s="79"/>
      <c r="BA224" s="79"/>
      <c r="BB224" s="79"/>
      <c r="BC224" s="79"/>
      <c r="BD224" s="79"/>
      <c r="BE224" s="79"/>
      <c r="BF224" s="79"/>
      <c r="BG224" s="79"/>
      <c r="BH224" s="79">
        <v>0.5</v>
      </c>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hidden="1" outlineLevel="1" x14ac:dyDescent="0.4">
      <c r="A225" s="30" t="str">
        <f t="shared" si="59"/>
        <v>lt827_mthd_usd_instrmntmthd_usd_instrmnt_scp_3</v>
      </c>
      <c r="B225" s="142" t="s">
        <v>26</v>
      </c>
      <c r="C225" s="138" t="s">
        <v>26</v>
      </c>
      <c r="D225" s="253" t="s">
        <v>40</v>
      </c>
      <c r="E225" s="257" t="s">
        <v>1966</v>
      </c>
      <c r="F225" s="257"/>
      <c r="G225" s="257" t="s">
        <v>388</v>
      </c>
      <c r="H225" s="255" t="str">
        <f>VLOOKUP(A225,'2. Status Detalhe Campos'!$A$7:$G$574,7,0)</f>
        <v>6. Em implementação (re-especificação)</v>
      </c>
      <c r="I225" s="240">
        <v>45603</v>
      </c>
      <c r="J225" s="238">
        <v>45611</v>
      </c>
      <c r="K225" s="239"/>
      <c r="L225" s="280">
        <f t="array" ref="L225">MIN(IF(V225:CH225&gt;0,$V$16:$CH$16))</f>
        <v>45642</v>
      </c>
      <c r="M225" s="279">
        <f t="array" ref="M225">MAX(IF(V225:CH225&gt;0,$V$16:$CH$16))</f>
        <v>45642</v>
      </c>
      <c r="N225" s="277">
        <f>VLOOKUP(H225,Auxiliar!$B$16:$E$24,4,0)</f>
        <v>0</v>
      </c>
      <c r="O225" s="277">
        <f t="shared" ca="1" si="60"/>
        <v>0</v>
      </c>
      <c r="P225" s="276">
        <f t="shared" ca="1" si="57"/>
        <v>0</v>
      </c>
      <c r="Q225" s="287" t="s">
        <v>38</v>
      </c>
      <c r="R225" s="230"/>
      <c r="S225" s="224">
        <v>4.0999999999999996</v>
      </c>
      <c r="T225" s="224">
        <f t="shared" si="40"/>
        <v>0.5</v>
      </c>
      <c r="U225" s="224">
        <f t="shared" si="61"/>
        <v>0</v>
      </c>
      <c r="V225" s="79"/>
      <c r="W225" s="79"/>
      <c r="X225" s="79"/>
      <c r="Y225" s="237"/>
      <c r="Z225" s="79"/>
      <c r="AA225" s="79"/>
      <c r="AB225" s="79"/>
      <c r="AC225" s="92"/>
      <c r="AD225" s="79"/>
      <c r="AE225" s="79"/>
      <c r="AF225" s="79"/>
      <c r="AG225" s="237"/>
      <c r="AH225" s="79"/>
      <c r="AI225" s="79"/>
      <c r="AJ225" s="79"/>
      <c r="AK225" s="79"/>
      <c r="AL225" s="79"/>
      <c r="AM225" s="231"/>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collapsed="1" x14ac:dyDescent="0.4">
      <c r="A226" s="30"/>
      <c r="B226" s="142" t="s">
        <v>26</v>
      </c>
      <c r="C226" s="138" t="s">
        <v>26</v>
      </c>
      <c r="D226" s="134"/>
      <c r="E226" s="263" t="s">
        <v>1965</v>
      </c>
      <c r="F226" s="260" t="s">
        <v>1989</v>
      </c>
      <c r="G226" s="261">
        <f>COUNTA(G227:G231)</f>
        <v>5</v>
      </c>
      <c r="H226" s="136"/>
      <c r="I226" s="259">
        <f>MAX(I227:I230)</f>
        <v>45593</v>
      </c>
      <c r="J226" s="258">
        <f>MIN(J227:J230)</f>
        <v>45624</v>
      </c>
      <c r="K226" s="229"/>
      <c r="L226" s="259">
        <f>MIN(L227:L230)</f>
        <v>45644</v>
      </c>
      <c r="M226" s="259">
        <f>MAX(M227:M230)</f>
        <v>45645</v>
      </c>
      <c r="N226" s="282">
        <f>SUMPRODUCT(N227:N230,T227:T230)/SUM(T227:T230)</f>
        <v>0</v>
      </c>
      <c r="O226" s="282">
        <f ca="1">SUMPRODUCT(O227:O230,T227:T230)/SUM(T227:T230)</f>
        <v>0</v>
      </c>
      <c r="P226" s="276">
        <f t="shared" ca="1" si="57"/>
        <v>0</v>
      </c>
      <c r="Q226" s="287" t="s">
        <v>38</v>
      </c>
      <c r="R226" s="230"/>
      <c r="S226" s="224"/>
      <c r="T226" s="224"/>
      <c r="U226" s="224"/>
      <c r="V226" s="79"/>
      <c r="W226" s="79"/>
      <c r="X226" s="79"/>
      <c r="Y226" s="237"/>
      <c r="Z226" s="79"/>
      <c r="AA226" s="79"/>
      <c r="AB226" s="79"/>
      <c r="AC226" s="92"/>
      <c r="AD226" s="79"/>
      <c r="AE226" s="79"/>
      <c r="AF226" s="79"/>
      <c r="AG226" s="79"/>
      <c r="AH226" s="79"/>
      <c r="AI226" s="79"/>
      <c r="AJ226" s="79"/>
      <c r="AK226" s="79"/>
      <c r="AL226" s="79"/>
      <c r="AM226" s="79"/>
      <c r="AN226" s="79"/>
      <c r="AO226" s="79"/>
      <c r="AP226" s="79"/>
      <c r="AQ226" s="79"/>
      <c r="AR226" s="79"/>
      <c r="AS226" s="79"/>
      <c r="AT226" s="79"/>
      <c r="AU226" s="79"/>
      <c r="AV226" s="231"/>
      <c r="AW226" s="79"/>
      <c r="AX226" s="79"/>
      <c r="AY226" s="79"/>
      <c r="AZ226" s="79"/>
      <c r="BA226" s="79"/>
      <c r="BB226" s="79"/>
      <c r="BC226" s="79"/>
      <c r="BD226" s="79"/>
      <c r="BE226" s="79"/>
      <c r="BF226" s="79"/>
      <c r="BG226" s="79"/>
      <c r="BH226" s="79"/>
      <c r="BI226" s="79"/>
      <c r="BJ226" s="79"/>
      <c r="BK226" s="79"/>
      <c r="BL226" s="266"/>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hidden="1" outlineLevel="1" x14ac:dyDescent="0.4">
      <c r="A227" s="30" t="str">
        <f>E227&amp;G227</f>
        <v>lt007_instr_activityenvrnmntl_objctv</v>
      </c>
      <c r="B227" s="142" t="s">
        <v>26</v>
      </c>
      <c r="C227" s="138" t="s">
        <v>26</v>
      </c>
      <c r="D227" s="253" t="s">
        <v>40</v>
      </c>
      <c r="E227" s="257" t="s">
        <v>1965</v>
      </c>
      <c r="F227" s="257"/>
      <c r="G227" s="257" t="s">
        <v>383</v>
      </c>
      <c r="H227" s="255" t="str">
        <f>VLOOKUP(A227,'2. Status Detalhe Campos'!$A$7:$G$574,7,0)</f>
        <v>6. Em implementação (re-especificação)</v>
      </c>
      <c r="I227" s="153">
        <v>45593</v>
      </c>
      <c r="J227" s="235">
        <v>45624</v>
      </c>
      <c r="K227" s="229"/>
      <c r="L227" s="280">
        <f t="array" ref="L227">MIN(IF(V227:CH227&gt;0,$V$16:$CH$16))</f>
        <v>45644</v>
      </c>
      <c r="M227" s="279">
        <f t="array" ref="M227">MAX(IF(V227:CH227&gt;0,$V$16:$CH$16))</f>
        <v>45644</v>
      </c>
      <c r="N227" s="277">
        <f>VLOOKUP(H227,Auxiliar!$B$16:$E$24,4,0)</f>
        <v>0</v>
      </c>
      <c r="O227" s="277">
        <f t="shared" ref="O227:O231" ca="1" si="62">IF(TODAY()&lt;=L227,0,MIN((TODAY()-L227)/(M227-L227+1),100%))</f>
        <v>0</v>
      </c>
      <c r="P227" s="276">
        <f t="shared" ca="1" si="57"/>
        <v>0</v>
      </c>
      <c r="Q227" s="287" t="s">
        <v>38</v>
      </c>
      <c r="R227" s="230"/>
      <c r="S227" s="224">
        <v>4.0999999999999996</v>
      </c>
      <c r="T227" s="224">
        <f>ROUND(S227/8,1)</f>
        <v>0.5</v>
      </c>
      <c r="U227" s="224">
        <f>SUM(V227:CH227)-T227</f>
        <v>0</v>
      </c>
      <c r="V227" s="79"/>
      <c r="W227" s="79"/>
      <c r="X227" s="79"/>
      <c r="Y227" s="237"/>
      <c r="Z227" s="79"/>
      <c r="AA227" s="79"/>
      <c r="AB227" s="79"/>
      <c r="AC227" s="92"/>
      <c r="AD227" s="79"/>
      <c r="AE227" s="79"/>
      <c r="AF227" s="79"/>
      <c r="AG227" s="79"/>
      <c r="AH227" s="79"/>
      <c r="AI227" s="79"/>
      <c r="AJ227" s="79"/>
      <c r="AK227" s="79"/>
      <c r="AL227" s="79"/>
      <c r="AM227" s="79"/>
      <c r="AN227" s="79"/>
      <c r="AO227" s="79"/>
      <c r="AP227" s="79"/>
      <c r="AQ227" s="79"/>
      <c r="AR227" s="79"/>
      <c r="AS227" s="79"/>
      <c r="AT227" s="79"/>
      <c r="AU227" s="79"/>
      <c r="AV227" s="231"/>
      <c r="AW227" s="79"/>
      <c r="AX227" s="79"/>
      <c r="AY227" s="79"/>
      <c r="AZ227" s="79"/>
      <c r="BA227" s="79"/>
      <c r="BB227" s="79"/>
      <c r="BC227" s="79"/>
      <c r="BD227" s="79"/>
      <c r="BE227" s="79"/>
      <c r="BF227" s="79"/>
      <c r="BG227" s="79"/>
      <c r="BH227" s="79"/>
      <c r="BI227" s="79"/>
      <c r="BJ227" s="79">
        <v>0.5</v>
      </c>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hidden="1" outlineLevel="1" x14ac:dyDescent="0.4">
      <c r="A228" s="30" t="str">
        <f>E228&amp;G228</f>
        <v>lt007_instr_activitytyp_actvty</v>
      </c>
      <c r="B228" s="142" t="s">
        <v>26</v>
      </c>
      <c r="C228" s="138" t="s">
        <v>26</v>
      </c>
      <c r="D228" s="253" t="s">
        <v>40</v>
      </c>
      <c r="E228" s="257" t="s">
        <v>1965</v>
      </c>
      <c r="F228" s="257"/>
      <c r="G228" s="257" t="s">
        <v>384</v>
      </c>
      <c r="H228" s="255" t="str">
        <f>VLOOKUP(A228,'2. Status Detalhe Campos'!$A$7:$G$574,7,0)</f>
        <v>6. Em implementação (re-especificação)</v>
      </c>
      <c r="I228" s="153">
        <v>45593</v>
      </c>
      <c r="J228" s="235">
        <v>45624</v>
      </c>
      <c r="K228" s="229"/>
      <c r="L228" s="280">
        <f t="array" ref="L228">MIN(IF(V228:CH228&gt;0,$V$16:$CH$16))</f>
        <v>45645</v>
      </c>
      <c r="M228" s="279">
        <f t="array" ref="M228">MAX(IF(V228:CH228&gt;0,$V$16:$CH$16))</f>
        <v>45645</v>
      </c>
      <c r="N228" s="277">
        <f>VLOOKUP(H228,Auxiliar!$B$16:$E$24,4,0)</f>
        <v>0</v>
      </c>
      <c r="O228" s="277">
        <f t="shared" ca="1" si="62"/>
        <v>0</v>
      </c>
      <c r="P228" s="276">
        <f t="shared" ca="1" si="57"/>
        <v>0</v>
      </c>
      <c r="Q228" s="287" t="s">
        <v>38</v>
      </c>
      <c r="R228" s="230"/>
      <c r="S228" s="224">
        <v>4.0999999999999996</v>
      </c>
      <c r="T228" s="224">
        <f>ROUND(S228/8,1)</f>
        <v>0.5</v>
      </c>
      <c r="U228" s="224">
        <f>SUM(V228:CH228)-T228</f>
        <v>0</v>
      </c>
      <c r="V228" s="79"/>
      <c r="W228" s="79"/>
      <c r="X228" s="79"/>
      <c r="Y228" s="237"/>
      <c r="Z228" s="79"/>
      <c r="AA228" s="79"/>
      <c r="AB228" s="79"/>
      <c r="AC228" s="92"/>
      <c r="AD228" s="79"/>
      <c r="AE228" s="79"/>
      <c r="AF228" s="79"/>
      <c r="AG228" s="79"/>
      <c r="AH228" s="79"/>
      <c r="AI228" s="79"/>
      <c r="AJ228" s="79"/>
      <c r="AK228" s="79"/>
      <c r="AL228" s="79"/>
      <c r="AM228" s="79"/>
      <c r="AN228" s="79"/>
      <c r="AO228" s="79"/>
      <c r="AP228" s="79"/>
      <c r="AQ228" s="79"/>
      <c r="AR228" s="79"/>
      <c r="AS228" s="79"/>
      <c r="AT228" s="79"/>
      <c r="AU228" s="79"/>
      <c r="AV228" s="231"/>
      <c r="AW228" s="79"/>
      <c r="AX228" s="79"/>
      <c r="AY228" s="79"/>
      <c r="AZ228" s="79"/>
      <c r="BA228" s="79"/>
      <c r="BB228" s="79"/>
      <c r="BC228" s="79"/>
      <c r="BD228" s="79"/>
      <c r="BE228" s="79"/>
      <c r="BF228" s="79"/>
      <c r="BG228" s="79"/>
      <c r="BH228" s="79"/>
      <c r="BI228" s="79"/>
      <c r="BJ228" s="79"/>
      <c r="BK228" s="79">
        <v>0.5</v>
      </c>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hidden="1" outlineLevel="1" x14ac:dyDescent="0.4">
      <c r="A229" s="30" t="str">
        <f>E229&amp;G229</f>
        <v>lt007_instr_activitysstnbl_indctr</v>
      </c>
      <c r="B229" s="142" t="s">
        <v>26</v>
      </c>
      <c r="C229" s="138" t="s">
        <v>26</v>
      </c>
      <c r="D229" s="253" t="s">
        <v>40</v>
      </c>
      <c r="E229" s="257" t="s">
        <v>1965</v>
      </c>
      <c r="F229" s="257"/>
      <c r="G229" s="257" t="s">
        <v>419</v>
      </c>
      <c r="H229" s="255" t="str">
        <f>VLOOKUP(A229,'2. Status Detalhe Campos'!$A$7:$G$574,7,0)</f>
        <v>6. Em implementação (re-especificação)</v>
      </c>
      <c r="I229" s="153">
        <v>45593</v>
      </c>
      <c r="J229" s="235">
        <v>45624</v>
      </c>
      <c r="K229" s="229"/>
      <c r="L229" s="280">
        <f t="array" ref="L229">MIN(IF(V229:CH229&gt;0,$V$16:$CH$16))</f>
        <v>45645</v>
      </c>
      <c r="M229" s="279">
        <f t="array" ref="M229">MAX(IF(V229:CH229&gt;0,$V$16:$CH$16))</f>
        <v>45645</v>
      </c>
      <c r="N229" s="277">
        <f>VLOOKUP(H229,Auxiliar!$B$16:$E$24,4,0)</f>
        <v>0</v>
      </c>
      <c r="O229" s="277">
        <f t="shared" ca="1" si="62"/>
        <v>0</v>
      </c>
      <c r="P229" s="276">
        <f t="shared" ca="1" si="57"/>
        <v>0</v>
      </c>
      <c r="Q229" s="287" t="s">
        <v>38</v>
      </c>
      <c r="R229" s="230"/>
      <c r="S229" s="233">
        <v>4.0999999999999996</v>
      </c>
      <c r="T229" s="224">
        <f t="shared" si="40"/>
        <v>0.5</v>
      </c>
      <c r="U229" s="224">
        <f>SUM(V229:CH229)-T229</f>
        <v>0</v>
      </c>
      <c r="V229" s="79"/>
      <c r="W229" s="79"/>
      <c r="X229" s="79"/>
      <c r="Y229" s="237"/>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1"/>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hidden="1" outlineLevel="1" x14ac:dyDescent="0.4">
      <c r="A230" s="30" t="str">
        <f>E230&amp;G230</f>
        <v>lt007_instr_activitysstnbl_ctgry</v>
      </c>
      <c r="B230" s="142" t="s">
        <v>26</v>
      </c>
      <c r="C230" s="138" t="s">
        <v>26</v>
      </c>
      <c r="D230" s="253" t="s">
        <v>40</v>
      </c>
      <c r="E230" s="257" t="s">
        <v>1965</v>
      </c>
      <c r="F230" s="257"/>
      <c r="G230" s="257" t="s">
        <v>420</v>
      </c>
      <c r="H230" s="255" t="str">
        <f>VLOOKUP(A230,'2. Status Detalhe Campos'!$A$7:$G$574,7,0)</f>
        <v>6. Em implementação (re-especificação)</v>
      </c>
      <c r="I230" s="153">
        <v>45593</v>
      </c>
      <c r="J230" s="235">
        <v>45624</v>
      </c>
      <c r="K230" s="229"/>
      <c r="L230" s="280">
        <f t="array" ref="L230">MIN(IF(V230:CH230&gt;0,$V$16:$CH$16))</f>
        <v>45644</v>
      </c>
      <c r="M230" s="279">
        <f t="array" ref="M230">MAX(IF(V230:CH230&gt;0,$V$16:$CH$16))</f>
        <v>45644</v>
      </c>
      <c r="N230" s="277">
        <f>VLOOKUP(H230,Auxiliar!$B$16:$E$24,4,0)</f>
        <v>0</v>
      </c>
      <c r="O230" s="277">
        <f t="shared" ca="1" si="62"/>
        <v>0</v>
      </c>
      <c r="P230" s="276">
        <f t="shared" ca="1" si="57"/>
        <v>0</v>
      </c>
      <c r="Q230" s="287" t="s">
        <v>38</v>
      </c>
      <c r="R230" s="230"/>
      <c r="S230" s="233">
        <v>4.0999999999999996</v>
      </c>
      <c r="T230" s="224">
        <f t="shared" si="40"/>
        <v>0.5</v>
      </c>
      <c r="U230" s="224">
        <f>SUM(V230:CH230)-T230</f>
        <v>0</v>
      </c>
      <c r="V230" s="79"/>
      <c r="W230" s="79"/>
      <c r="X230" s="79"/>
      <c r="Y230" s="237"/>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1"/>
      <c r="AW230" s="79"/>
      <c r="AX230" s="79"/>
      <c r="AY230" s="79"/>
      <c r="AZ230" s="79"/>
      <c r="BA230" s="79"/>
      <c r="BB230" s="79"/>
      <c r="BC230" s="79"/>
      <c r="BD230" s="79"/>
      <c r="BE230" s="79"/>
      <c r="BF230" s="79"/>
      <c r="BG230" s="79"/>
      <c r="BH230" s="79"/>
      <c r="BI230" s="79"/>
      <c r="BJ230" s="79">
        <v>0.5</v>
      </c>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ollapsed="1" x14ac:dyDescent="0.4">
      <c r="A231" s="30" t="str">
        <f>E231&amp;G231</f>
        <v>munichRetbd</v>
      </c>
      <c r="B231" s="142" t="s">
        <v>26</v>
      </c>
      <c r="C231" s="138" t="s">
        <v>181</v>
      </c>
      <c r="D231" s="134" t="s">
        <v>40</v>
      </c>
      <c r="E231" s="263" t="s">
        <v>1967</v>
      </c>
      <c r="F231" s="260" t="s">
        <v>1989</v>
      </c>
      <c r="G231" s="263" t="s">
        <v>1968</v>
      </c>
      <c r="H231" s="283"/>
      <c r="I231" s="259">
        <v>45574</v>
      </c>
      <c r="J231" s="238"/>
      <c r="K231" s="229"/>
      <c r="L231" s="281">
        <f t="array" ref="L231">MIN(IF(V231:CH231&gt;0,$V$16:$CH$16))</f>
        <v>45659</v>
      </c>
      <c r="M231" s="284">
        <f t="array" ref="M231">MAX(IF(V231:CH231&gt;0,$V$16:$CH$16))</f>
        <v>45660</v>
      </c>
      <c r="N231" s="285">
        <v>0</v>
      </c>
      <c r="O231" s="285">
        <f t="shared" ca="1" si="62"/>
        <v>0</v>
      </c>
      <c r="P231" s="276">
        <f t="shared" ca="1" si="57"/>
        <v>0</v>
      </c>
      <c r="Q231" s="287" t="s">
        <v>38</v>
      </c>
      <c r="R231" s="230"/>
      <c r="S231" s="224"/>
      <c r="T231" s="224"/>
      <c r="U231" s="224"/>
      <c r="V231" s="79"/>
      <c r="W231" s="79"/>
      <c r="X231" s="79"/>
      <c r="Y231" s="79"/>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92"/>
      <c r="BO231" s="92"/>
      <c r="BP231" s="92"/>
      <c r="BQ231" s="92"/>
      <c r="BR231" s="92"/>
      <c r="BS231" s="92"/>
      <c r="BT231" s="92"/>
      <c r="BU231" s="79">
        <v>2</v>
      </c>
      <c r="BV231" s="79">
        <v>2</v>
      </c>
      <c r="BW231" s="79"/>
      <c r="BX231" s="79"/>
      <c r="BY231" s="79"/>
      <c r="BZ231" s="79"/>
      <c r="CA231" s="79"/>
      <c r="CB231" s="79"/>
      <c r="CC231" s="79"/>
      <c r="CD231" s="79"/>
      <c r="CE231" s="79"/>
      <c r="CF231" s="79"/>
      <c r="CG231" s="79"/>
      <c r="CH231" s="79"/>
    </row>
    <row r="232" spans="1:86" ht="16.2" x14ac:dyDescent="0.4">
      <c r="A232" s="30"/>
      <c r="B232" s="142" t="s">
        <v>26</v>
      </c>
      <c r="C232" s="138" t="s">
        <v>34</v>
      </c>
      <c r="D232" s="134"/>
      <c r="E232" s="263" t="s">
        <v>2015</v>
      </c>
      <c r="F232" s="260" t="s">
        <v>1989</v>
      </c>
      <c r="G232" s="263" t="s">
        <v>1968</v>
      </c>
      <c r="H232" s="136"/>
      <c r="I232" s="264">
        <v>45604</v>
      </c>
      <c r="J232" s="238"/>
      <c r="K232" s="229"/>
      <c r="L232" s="281">
        <f t="array" ref="L232">MIN(IF(V232:CH232&gt;0,$V$16:$CH$16))</f>
        <v>45659</v>
      </c>
      <c r="M232" s="284">
        <f t="array" ref="M232">MAX(IF(V232:CH232&gt;0,$V$16:$CH$16))</f>
        <v>45660</v>
      </c>
      <c r="N232" s="285">
        <v>0</v>
      </c>
      <c r="O232" s="285">
        <v>0</v>
      </c>
      <c r="P232" s="276">
        <f t="shared" si="57"/>
        <v>0</v>
      </c>
      <c r="Q232" s="287" t="s">
        <v>38</v>
      </c>
      <c r="R232" s="230"/>
      <c r="S232" s="224"/>
      <c r="T232" s="224"/>
      <c r="U232" s="224"/>
      <c r="V232" s="79"/>
      <c r="W232" s="79"/>
      <c r="X232" s="79"/>
      <c r="Y232" s="79"/>
      <c r="Z232" s="79"/>
      <c r="AA232" s="79"/>
      <c r="AB232" s="79"/>
      <c r="AC232" s="92"/>
      <c r="AD232" s="79"/>
      <c r="AE232" s="79"/>
      <c r="AF232" s="79"/>
      <c r="AG232" s="79"/>
      <c r="AH232" s="237"/>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1</v>
      </c>
      <c r="BV232" s="79">
        <v>1</v>
      </c>
      <c r="BW232" s="79"/>
      <c r="BX232" s="79"/>
      <c r="BY232" s="79"/>
      <c r="BZ232" s="79"/>
      <c r="CA232" s="79"/>
      <c r="CB232" s="79"/>
      <c r="CC232" s="79"/>
      <c r="CD232" s="79"/>
      <c r="CE232" s="79"/>
      <c r="CF232" s="79"/>
      <c r="CG232" s="79"/>
      <c r="CH232" s="79"/>
    </row>
    <row r="233" spans="1:86" ht="16.2" x14ac:dyDescent="0.4">
      <c r="A233" s="30"/>
      <c r="B233" s="142" t="s">
        <v>26</v>
      </c>
      <c r="C233" s="138" t="s">
        <v>54</v>
      </c>
      <c r="D233" s="134"/>
      <c r="E233" s="263" t="s">
        <v>94</v>
      </c>
      <c r="F233" s="260" t="s">
        <v>1989</v>
      </c>
      <c r="G233" s="263">
        <v>1</v>
      </c>
      <c r="H233" s="136"/>
      <c r="I233" s="264"/>
      <c r="J233" s="238"/>
      <c r="K233" s="229"/>
      <c r="L233" s="281"/>
      <c r="M233" s="284"/>
      <c r="N233" s="285">
        <v>0</v>
      </c>
      <c r="O233" s="285">
        <v>0</v>
      </c>
      <c r="P233" s="276">
        <f t="shared" ref="P233" si="63">N233-O233</f>
        <v>0</v>
      </c>
      <c r="Q233" s="287" t="s">
        <v>2026</v>
      </c>
      <c r="R233" s="230"/>
      <c r="S233" s="224"/>
      <c r="T233" s="224"/>
      <c r="U233" s="224"/>
      <c r="V233" s="79"/>
      <c r="W233" s="79"/>
      <c r="X233" s="79"/>
      <c r="Y233" s="79"/>
      <c r="Z233" s="79"/>
      <c r="AA233" s="79"/>
      <c r="AB233" s="79"/>
      <c r="AC233" s="92"/>
      <c r="AD233" s="79"/>
      <c r="AE233" s="79"/>
      <c r="AF233" s="79"/>
      <c r="AG233" s="79"/>
      <c r="AH233" s="237"/>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x14ac:dyDescent="0.4">
      <c r="A234" s="30"/>
      <c r="B234" s="142" t="s">
        <v>26</v>
      </c>
      <c r="C234" s="138" t="s">
        <v>1987</v>
      </c>
      <c r="D234" s="134"/>
      <c r="E234" s="263" t="s">
        <v>1969</v>
      </c>
      <c r="F234" s="137"/>
      <c r="G234" s="137"/>
      <c r="H234" s="136"/>
      <c r="I234" s="229"/>
      <c r="J234" s="153"/>
      <c r="K234" s="229"/>
      <c r="L234" s="229"/>
      <c r="M234" s="229"/>
      <c r="N234" s="276"/>
      <c r="O234" s="276"/>
      <c r="P234" s="276"/>
      <c r="Q234" s="276"/>
      <c r="R234" s="230"/>
      <c r="S234" s="224">
        <f>SUM(S18:S231)*0.3</f>
        <v>259.50000000000063</v>
      </c>
      <c r="T234" s="224">
        <f t="shared" si="40"/>
        <v>32.4</v>
      </c>
      <c r="U234" s="224">
        <f>SUM(V234:CH234)-T234</f>
        <v>0.60000000000000142</v>
      </c>
      <c r="V234" s="79"/>
      <c r="W234" s="79"/>
      <c r="X234" s="79"/>
      <c r="Y234" s="79"/>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v>2</v>
      </c>
      <c r="BX234" s="79">
        <v>3</v>
      </c>
      <c r="BY234" s="79">
        <v>3</v>
      </c>
      <c r="BZ234" s="79">
        <v>3</v>
      </c>
      <c r="CA234" s="79">
        <v>3</v>
      </c>
      <c r="CB234" s="79">
        <v>3</v>
      </c>
      <c r="CC234" s="79">
        <v>3</v>
      </c>
      <c r="CD234" s="79">
        <v>3</v>
      </c>
      <c r="CE234" s="79">
        <v>3</v>
      </c>
      <c r="CF234" s="79">
        <v>3</v>
      </c>
      <c r="CG234" s="79">
        <v>3</v>
      </c>
      <c r="CH234" s="79">
        <v>1</v>
      </c>
    </row>
  </sheetData>
  <conditionalFormatting sqref="R12 V17:CH147 AN148:BS151 BT148:CH153 V148:AM160 AO152:BS160 V153:AS160 BT162:CH163 V162:BS166 V163:CH234">
    <cfRule type="cellIs" dxfId="5" priority="13" operator="greaterThan">
      <formula>0</formula>
    </cfRule>
  </conditionalFormatting>
  <conditionalFormatting sqref="U17:U234">
    <cfRule type="cellIs" dxfId="4" priority="15" operator="notEqual">
      <formula>0</formula>
    </cfRule>
  </conditionalFormatting>
  <conditionalFormatting sqref="V215:BS215">
    <cfRule type="cellIs" dxfId="3" priority="4" operator="greaterThan">
      <formula>0</formula>
    </cfRule>
  </conditionalFormatting>
  <conditionalFormatting sqref="V226:BS226">
    <cfRule type="cellIs" dxfId="2" priority="2" operator="greaterThan">
      <formula>0</formula>
    </cfRule>
  </conditionalFormatting>
  <conditionalFormatting sqref="V154:CH161">
    <cfRule type="cellIs" dxfId="1" priority="1" operator="greaterThan">
      <formula>0</formula>
    </cfRule>
  </conditionalFormatting>
  <conditionalFormatting sqref="X6:CH6 X9:CH10">
    <cfRule type="cellIs" dxfId="0" priority="14"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http://purl.org/dc/elements/1.1/"/>
    <ds:schemaRef ds:uri="http://schemas.openxmlformats.org/package/2006/metadata/core-properties"/>
    <ds:schemaRef ds:uri="http://www.w3.org/XML/1998/namespace"/>
    <ds:schemaRef ds:uri="0683c779-04fc-4b63-89c9-6c25ffa1c0a4"/>
    <ds:schemaRef ds:uri="http://purl.org/dc/terms/"/>
    <ds:schemaRef ds:uri="http://schemas.microsoft.com/office/2006/metadata/properties"/>
    <ds:schemaRef ds:uri="http://purl.org/dc/dcmitype/"/>
    <ds:schemaRef ds:uri="http://schemas.microsoft.com/office/2006/documentManagement/types"/>
    <ds:schemaRef ds:uri="http://schemas.microsoft.com/office/infopath/2007/PartnerControls"/>
    <ds:schemaRef ds:uri="6ea7b29d-57ec-408d-9ea9-cf73b04f66d5"/>
    <ds:schemaRef ds:uri="http://schemas.microsoft.com/sharepoint/v3"/>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46B127BD-27D8-46C9-8C56-4B9B53F968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2024-11-14T09:33:51Z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