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6" r:id="rId12"/>
    <pivotCache cacheId="239" r:id="rId13"/>
    <pivotCache cacheId="242" r:id="rId14"/>
    <pivotCache cacheId="245" r:id="rId15"/>
    <pivotCache cacheId="248" r:id="rId16"/>
    <pivotCache cacheId="251" r:id="rId17"/>
    <pivotCache cacheId="254"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A215" i="21"/>
  <c r="P216" i="21"/>
  <c r="O219" i="21"/>
  <c r="O218" i="21"/>
  <c r="O217" i="21"/>
  <c r="M216" i="21"/>
  <c r="L216" i="21"/>
  <c r="A216" i="21"/>
  <c r="A219" i="21"/>
  <c r="A218" i="21"/>
  <c r="A217" i="21"/>
  <c r="K207" i="21"/>
  <c r="K220" i="21"/>
  <c r="A193" i="21" l="1"/>
  <c r="I181" i="21" l="1"/>
  <c r="G181" i="21"/>
  <c r="U25" i="15" l="1"/>
  <c r="P238" i="21" l="1"/>
  <c r="P23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31" i="21"/>
  <c r="I231" i="21"/>
  <c r="J220" i="21"/>
  <c r="I220" i="21"/>
  <c r="J211" i="21"/>
  <c r="I211" i="21"/>
  <c r="J207" i="21"/>
  <c r="I207" i="21"/>
  <c r="J204" i="21"/>
  <c r="I204" i="21"/>
  <c r="J202" i="21"/>
  <c r="I202" i="21"/>
  <c r="I200" i="21"/>
  <c r="J194" i="21"/>
  <c r="I194" i="21"/>
  <c r="J188" i="21"/>
  <c r="I188" i="21"/>
  <c r="J181" i="21"/>
  <c r="J175" i="21"/>
  <c r="I173" i="21"/>
  <c r="J171" i="21"/>
  <c r="I171" i="21"/>
  <c r="J167" i="21"/>
  <c r="J161" i="21"/>
  <c r="I161" i="21"/>
  <c r="J138" i="21"/>
  <c r="I138" i="21"/>
  <c r="J125" i="21"/>
  <c r="J117" i="21"/>
  <c r="J112" i="21"/>
  <c r="J105" i="21"/>
  <c r="J84" i="21"/>
  <c r="J79" i="21"/>
  <c r="J70" i="21"/>
  <c r="J53" i="21"/>
  <c r="J30" i="21"/>
  <c r="J17" i="21"/>
  <c r="J200" i="21" l="1"/>
  <c r="BT16" i="21"/>
  <c r="BN10" i="20"/>
  <c r="BN6" i="20" s="1"/>
  <c r="G231" i="21"/>
  <c r="G220" i="21"/>
  <c r="K202" i="21"/>
  <c r="G211" i="21"/>
  <c r="G207" i="21"/>
  <c r="G204" i="21"/>
  <c r="G202" i="21"/>
  <c r="K181" i="21"/>
  <c r="K175" i="21"/>
  <c r="G200" i="21"/>
  <c r="G194" i="21"/>
  <c r="G188" i="21"/>
  <c r="G175" i="21"/>
  <c r="K167" i="21"/>
  <c r="G173" i="21"/>
  <c r="G171" i="21"/>
  <c r="G167" i="21"/>
  <c r="G161" i="21"/>
  <c r="K138" i="21"/>
  <c r="G138" i="21"/>
  <c r="G125" i="21"/>
  <c r="G117" i="21"/>
  <c r="G112" i="21"/>
  <c r="G105" i="21"/>
  <c r="G84" i="21"/>
  <c r="G79" i="21"/>
  <c r="K70" i="21"/>
  <c r="G70" i="21"/>
  <c r="G53" i="21"/>
  <c r="G30" i="21"/>
  <c r="K30" i="21"/>
  <c r="G17" i="21"/>
  <c r="S239" i="21"/>
  <c r="T239" i="21" s="1"/>
  <c r="U239" i="21" s="1"/>
  <c r="A236" i="21"/>
  <c r="T199" i="21"/>
  <c r="U199" i="21" s="1"/>
  <c r="A199" i="21"/>
  <c r="T198" i="21"/>
  <c r="U198" i="21" s="1"/>
  <c r="A198" i="21"/>
  <c r="T197" i="21"/>
  <c r="U197" i="21" s="1"/>
  <c r="A197" i="21"/>
  <c r="T196" i="21"/>
  <c r="U196" i="21" s="1"/>
  <c r="A196" i="21"/>
  <c r="T195" i="21"/>
  <c r="U195" i="21" s="1"/>
  <c r="A195" i="21"/>
  <c r="T192" i="21"/>
  <c r="U192" i="21" s="1"/>
  <c r="A192" i="21"/>
  <c r="T201" i="21"/>
  <c r="U201" i="21" s="1"/>
  <c r="A201" i="21"/>
  <c r="T191" i="21"/>
  <c r="U191" i="21" s="1"/>
  <c r="A191" i="21"/>
  <c r="T190" i="21"/>
  <c r="U190" i="21" s="1"/>
  <c r="A190" i="21"/>
  <c r="T189" i="21"/>
  <c r="U189" i="21" s="1"/>
  <c r="A189" i="21"/>
  <c r="T215" i="21"/>
  <c r="U215" i="21" s="1"/>
  <c r="T214" i="21"/>
  <c r="U214" i="21" s="1"/>
  <c r="A214" i="21"/>
  <c r="T213" i="21"/>
  <c r="U213" i="21" s="1"/>
  <c r="A213" i="21"/>
  <c r="T235" i="21"/>
  <c r="U235" i="21" s="1"/>
  <c r="A235" i="21"/>
  <c r="T234" i="21"/>
  <c r="U234" i="21" s="1"/>
  <c r="A234" i="21"/>
  <c r="T230" i="21"/>
  <c r="U230" i="21" s="1"/>
  <c r="A230" i="21"/>
  <c r="T229" i="21"/>
  <c r="U229" i="21" s="1"/>
  <c r="A229" i="21"/>
  <c r="T228" i="21"/>
  <c r="U228" i="21" s="1"/>
  <c r="A228"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06" i="21"/>
  <c r="U206" i="21" s="1"/>
  <c r="A206" i="21"/>
  <c r="T210" i="21"/>
  <c r="U210" i="21" s="1"/>
  <c r="A210" i="21"/>
  <c r="T209" i="21"/>
  <c r="U209" i="21" s="1"/>
  <c r="A209" i="21"/>
  <c r="T208" i="21"/>
  <c r="U208" i="21" s="1"/>
  <c r="A208" i="21"/>
  <c r="T203" i="21"/>
  <c r="U203" i="21" s="1"/>
  <c r="A203" i="21"/>
  <c r="T233" i="21"/>
  <c r="U233" i="21" s="1"/>
  <c r="A233" i="21"/>
  <c r="T232" i="21"/>
  <c r="U232" i="21" s="1"/>
  <c r="A232"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9" i="21" s="1"/>
  <c r="N229"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21" i="21" s="1"/>
  <c r="N221"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5" i="21" s="1"/>
  <c r="N225"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3" i="21" s="1"/>
  <c r="N233"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3" i="21" s="1"/>
  <c r="N223"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5" i="21" s="1"/>
  <c r="N235"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4" i="21" s="1"/>
  <c r="N224"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8" i="21" s="1"/>
  <c r="N228"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32" i="21" s="1"/>
  <c r="N232" i="21" s="1"/>
  <c r="G553" i="20"/>
  <c r="G526" i="17" s="1"/>
  <c r="H234" i="21" s="1"/>
  <c r="N234"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22" i="21" s="1"/>
  <c r="N222"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6" i="21" s="1"/>
  <c r="N226"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30" i="21" s="1"/>
  <c r="N230"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7" i="21" s="1"/>
  <c r="N227"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4" i="21" l="1"/>
  <c r="N214" i="21" s="1"/>
  <c r="H218" i="21"/>
  <c r="N218" i="21" s="1"/>
  <c r="P218" i="21" s="1"/>
  <c r="H213" i="21"/>
  <c r="N213" i="21" s="1"/>
  <c r="H217" i="21"/>
  <c r="N217" i="21" s="1"/>
  <c r="P217" i="21" s="1"/>
  <c r="H215" i="21"/>
  <c r="N215" i="21" s="1"/>
  <c r="N211" i="21" s="1"/>
  <c r="H219" i="21"/>
  <c r="N219" i="21" s="1"/>
  <c r="P219" i="21" s="1"/>
  <c r="N220" i="21"/>
  <c r="N188" i="21"/>
  <c r="N194" i="21"/>
  <c r="N167" i="21"/>
  <c r="N161" i="21"/>
  <c r="N70" i="21"/>
  <c r="N79" i="21"/>
  <c r="N181" i="21"/>
  <c r="N105" i="21"/>
  <c r="N204" i="21"/>
  <c r="N112" i="21"/>
  <c r="N53" i="21"/>
  <c r="N117" i="21"/>
  <c r="N175" i="21"/>
  <c r="N207" i="21"/>
  <c r="N84" i="21"/>
  <c r="N231" i="21"/>
  <c r="N138" i="21"/>
  <c r="N125"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193" i="21" s="1" a="1"/>
  <c r="L193" i="21" s="1"/>
  <c r="CB13" i="20"/>
  <c r="CA12" i="20"/>
  <c r="CA9" i="20"/>
  <c r="L111" i="21" l="1" a="1"/>
  <c r="L111" i="21" s="1"/>
  <c r="O111" i="21" s="1"/>
  <c r="P111" i="21" s="1"/>
  <c r="M193" i="21" a="1"/>
  <c r="M193" i="21" s="1"/>
  <c r="O193" i="21" s="1"/>
  <c r="P193" i="21" s="1"/>
  <c r="L36" i="21" a="1"/>
  <c r="L36" i="21" s="1"/>
  <c r="L63" i="21" a="1"/>
  <c r="L63" i="21" s="1"/>
  <c r="M63" i="21" a="1"/>
  <c r="M63" i="21" s="1"/>
  <c r="M169" i="21" a="1"/>
  <c r="M169" i="21" s="1"/>
  <c r="L237" i="21" a="1"/>
  <c r="L237" i="21" s="1"/>
  <c r="M237" i="21" a="1"/>
  <c r="M237"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22" i="21" a="1"/>
  <c r="M222" i="21" s="1"/>
  <c r="M97" i="21" a="1"/>
  <c r="M97" i="21" s="1"/>
  <c r="L221" i="21" a="1"/>
  <c r="L221" i="21" s="1"/>
  <c r="O221" i="21" s="1"/>
  <c r="P221" i="21" s="1"/>
  <c r="L151" i="21" a="1"/>
  <c r="L151" i="21" s="1"/>
  <c r="O151" i="21" s="1"/>
  <c r="P151" i="21" s="1"/>
  <c r="L100" i="21" a="1"/>
  <c r="L100" i="21" s="1"/>
  <c r="O100" i="21" s="1"/>
  <c r="P100" i="21" s="1"/>
  <c r="M93" i="21" a="1"/>
  <c r="M93" i="21" s="1"/>
  <c r="L120" i="21" a="1"/>
  <c r="L120" i="21" s="1"/>
  <c r="L215" i="21" a="1"/>
  <c r="L215" i="21" s="1"/>
  <c r="L172" i="21" a="1"/>
  <c r="L172" i="21" s="1"/>
  <c r="M227" i="21" a="1"/>
  <c r="M227" i="21" s="1"/>
  <c r="L162" i="21" a="1"/>
  <c r="L162" i="21" s="1"/>
  <c r="M226" i="21" a="1"/>
  <c r="M226" i="21" s="1"/>
  <c r="M76" i="21" a="1"/>
  <c r="M76" i="21" s="1"/>
  <c r="L85" i="21" a="1"/>
  <c r="L85" i="21" s="1"/>
  <c r="M129" i="21" a="1"/>
  <c r="M129" i="21" s="1"/>
  <c r="L149" i="21" a="1"/>
  <c r="L149" i="21" s="1"/>
  <c r="O149" i="21" s="1"/>
  <c r="P149" i="21" s="1"/>
  <c r="L166" i="21" a="1"/>
  <c r="L166" i="21" s="1"/>
  <c r="M236" i="21" a="1"/>
  <c r="M236" i="21" s="1"/>
  <c r="L199" i="21" a="1"/>
  <c r="L199" i="21" s="1"/>
  <c r="O199" i="21" s="1"/>
  <c r="P199" i="21" s="1"/>
  <c r="M164" i="21" a="1"/>
  <c r="M164" i="21" s="1"/>
  <c r="L146" i="21" a="1"/>
  <c r="L146" i="21" s="1"/>
  <c r="L232" i="21" a="1"/>
  <c r="L232"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213" i="21" a="1"/>
  <c r="L213" i="21" s="1"/>
  <c r="L116" i="21" a="1"/>
  <c r="L116" i="21" s="1"/>
  <c r="L227" i="21" a="1"/>
  <c r="L227" i="21" s="1"/>
  <c r="O227" i="21" s="1"/>
  <c r="P227" i="21" s="1"/>
  <c r="L235" i="21" a="1"/>
  <c r="L235" i="21" s="1"/>
  <c r="O235" i="21" s="1"/>
  <c r="P235"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3" i="21" a="1"/>
  <c r="M223"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3" i="21" a="1"/>
  <c r="M203" i="21" s="1"/>
  <c r="M202" i="21" s="1"/>
  <c r="M179" i="21" a="1"/>
  <c r="M179" i="21" s="1"/>
  <c r="L163" i="21" a="1"/>
  <c r="L163" i="21" s="1"/>
  <c r="O163" i="21" s="1"/>
  <c r="P163" i="21" s="1"/>
  <c r="M101" i="21" a="1"/>
  <c r="M101" i="21" s="1"/>
  <c r="L124" i="21" a="1"/>
  <c r="L124" i="21" s="1"/>
  <c r="L89" i="21" a="1"/>
  <c r="L89" i="21" s="1"/>
  <c r="L144" i="21" a="1"/>
  <c r="L144" i="21" s="1"/>
  <c r="L110" i="21" a="1"/>
  <c r="L110" i="21" s="1"/>
  <c r="O110" i="21" s="1"/>
  <c r="P110" i="21" s="1"/>
  <c r="M155" i="21" a="1"/>
  <c r="M155" i="21" s="1"/>
  <c r="L224" i="21" a="1"/>
  <c r="L224" i="21" s="1"/>
  <c r="O224" i="21" s="1"/>
  <c r="P224" i="21" s="1"/>
  <c r="L158" i="21" a="1"/>
  <c r="L158" i="21" s="1"/>
  <c r="O158" i="21" s="1"/>
  <c r="P158" i="21" s="1"/>
  <c r="M143" i="21" a="1"/>
  <c r="M143" i="21" s="1"/>
  <c r="L128" i="21" a="1"/>
  <c r="L128" i="21" s="1"/>
  <c r="O128" i="21" s="1"/>
  <c r="P128" i="21" s="1"/>
  <c r="M144" i="21" a="1"/>
  <c r="M144" i="21" s="1"/>
  <c r="L229" i="21" a="1"/>
  <c r="L229" i="21" s="1"/>
  <c r="O229" i="21" s="1"/>
  <c r="P229"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3" i="21" a="1"/>
  <c r="M233" i="21" s="1"/>
  <c r="M132" i="21" a="1"/>
  <c r="M132" i="21" s="1"/>
  <c r="M75" i="21" a="1"/>
  <c r="M75" i="21" s="1"/>
  <c r="M83" i="21" a="1"/>
  <c r="M83" i="21" s="1"/>
  <c r="M213" i="21" a="1"/>
  <c r="M213" i="21" s="1"/>
  <c r="L195" i="21" a="1"/>
  <c r="L195" i="21" s="1"/>
  <c r="L214" i="21" a="1"/>
  <c r="L214" i="21" s="1"/>
  <c r="L98" i="21" a="1"/>
  <c r="L98" i="21" s="1"/>
  <c r="O98" i="21" s="1"/>
  <c r="P98" i="21" s="1"/>
  <c r="L142" i="21" a="1"/>
  <c r="L142" i="21" s="1"/>
  <c r="M229" i="21" a="1"/>
  <c r="M229" i="21" s="1"/>
  <c r="M80" i="21" a="1"/>
  <c r="M80" i="21" s="1"/>
  <c r="M111" i="21" a="1"/>
  <c r="M111" i="21" s="1"/>
  <c r="L223" i="21" a="1"/>
  <c r="L223" i="21" s="1"/>
  <c r="O223" i="21" s="1"/>
  <c r="P223" i="21" s="1"/>
  <c r="M184" i="21" a="1"/>
  <c r="M184" i="21" s="1"/>
  <c r="M154" i="21" a="1"/>
  <c r="M154" i="21" s="1"/>
  <c r="M230" i="21" a="1"/>
  <c r="M230"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4" i="21" a="1"/>
  <c r="L234" i="21" s="1"/>
  <c r="O234" i="21" s="1"/>
  <c r="P234"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22" i="21" a="1"/>
  <c r="L222" i="21" s="1"/>
  <c r="O222" i="21" s="1"/>
  <c r="P222" i="21" s="1"/>
  <c r="M72" i="21" a="1"/>
  <c r="M72" i="21" s="1"/>
  <c r="M96" i="21" a="1"/>
  <c r="M96" i="21" s="1"/>
  <c r="L169" i="21" a="1"/>
  <c r="L169" i="21" s="1"/>
  <c r="O169" i="21" s="1"/>
  <c r="P169" i="21" s="1"/>
  <c r="L226" i="21" a="1"/>
  <c r="L226" i="21" s="1"/>
  <c r="O226" i="21" s="1"/>
  <c r="P226" i="21" s="1"/>
  <c r="M135" i="21" a="1"/>
  <c r="M135" i="21" s="1"/>
  <c r="M235" i="21" a="1"/>
  <c r="M235" i="21" s="1"/>
  <c r="M71" i="21" a="1"/>
  <c r="M71" i="21" s="1"/>
  <c r="L119" i="21" a="1"/>
  <c r="L119" i="21" s="1"/>
  <c r="O119" i="21" s="1"/>
  <c r="P119" i="21" s="1"/>
  <c r="L118" i="21" a="1"/>
  <c r="L118" i="21" s="1"/>
  <c r="L86" i="21" a="1"/>
  <c r="L86" i="21" s="1"/>
  <c r="O86" i="21" s="1"/>
  <c r="P86" i="21" s="1"/>
  <c r="M162" i="21" a="1"/>
  <c r="M162" i="21" s="1"/>
  <c r="M74" i="21" a="1"/>
  <c r="M74" i="21" s="1"/>
  <c r="M195" i="21" a="1"/>
  <c r="M195" i="21" s="1"/>
  <c r="M208" i="21" a="1"/>
  <c r="M208" i="21" s="1"/>
  <c r="L73" i="21" a="1"/>
  <c r="L73" i="21" s="1"/>
  <c r="O73" i="21" s="1"/>
  <c r="P73" i="21" s="1"/>
  <c r="M228" i="21" a="1"/>
  <c r="M228" i="21" s="1"/>
  <c r="L95" i="21" a="1"/>
  <c r="L95" i="21" s="1"/>
  <c r="O95" i="21" s="1"/>
  <c r="P95" i="21" s="1"/>
  <c r="M177" i="21" a="1"/>
  <c r="M177" i="21" s="1"/>
  <c r="L228" i="21" a="1"/>
  <c r="L228" i="21" s="1"/>
  <c r="O228" i="21" s="1"/>
  <c r="P228"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5" i="21" a="1"/>
  <c r="L225" i="21" s="1"/>
  <c r="O225" i="21" s="1"/>
  <c r="P225" i="21" s="1"/>
  <c r="L150" i="21" a="1"/>
  <c r="L150" i="21" s="1"/>
  <c r="O150" i="21" s="1"/>
  <c r="P150" i="21" s="1"/>
  <c r="M214" i="21" a="1"/>
  <c r="M214"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O90" i="21" s="1"/>
  <c r="P90" i="21" s="1"/>
  <c r="M221" i="21" a="1"/>
  <c r="M221" i="21" s="1"/>
  <c r="M197" i="21" a="1"/>
  <c r="M197" i="21" s="1"/>
  <c r="M81" i="21" a="1"/>
  <c r="M81" i="21" s="1"/>
  <c r="L75" i="21" a="1"/>
  <c r="L75" i="21" s="1"/>
  <c r="L76" i="21" a="1"/>
  <c r="L76" i="21" s="1"/>
  <c r="M225" i="21" a="1"/>
  <c r="M225" i="21" s="1"/>
  <c r="L210" i="21" a="1"/>
  <c r="L210" i="21" s="1"/>
  <c r="O210" i="21" s="1"/>
  <c r="P210" i="21" s="1"/>
  <c r="M160" i="21" a="1"/>
  <c r="M160" i="21" s="1"/>
  <c r="L191" i="21" a="1"/>
  <c r="L191" i="21" s="1"/>
  <c r="M159" i="21" a="1"/>
  <c r="M159" i="21" s="1"/>
  <c r="M196" i="21" a="1"/>
  <c r="M196" i="21" s="1"/>
  <c r="M224" i="21" a="1"/>
  <c r="M224"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M172" i="21" a="1"/>
  <c r="M172" i="21" s="1"/>
  <c r="M171" i="21" s="1"/>
  <c r="L77" i="21" a="1"/>
  <c r="L77" i="21" s="1"/>
  <c r="L187" i="21" a="1"/>
  <c r="L187" i="21" s="1"/>
  <c r="O187" i="21" s="1"/>
  <c r="P187" i="21" s="1"/>
  <c r="L236" i="21" a="1"/>
  <c r="L236" i="21" s="1"/>
  <c r="O236" i="21" s="1"/>
  <c r="P236" i="21" s="1"/>
  <c r="L233" i="21" a="1"/>
  <c r="L233" i="21" s="1"/>
  <c r="O233" i="21" s="1"/>
  <c r="P233" i="21" s="1"/>
  <c r="M166" i="21" a="1"/>
  <c r="M166" i="21" s="1"/>
  <c r="M232" i="21" a="1"/>
  <c r="M232" i="21" s="1"/>
  <c r="M215" i="21" a="1"/>
  <c r="M215" i="21" s="1"/>
  <c r="M205" i="21" a="1"/>
  <c r="M205" i="21" s="1"/>
  <c r="L185" i="21" a="1"/>
  <c r="L185" i="21" s="1"/>
  <c r="O185" i="21" s="1"/>
  <c r="P185" i="21" s="1"/>
  <c r="M158" i="21" a="1"/>
  <c r="M158" i="21" s="1"/>
  <c r="M106" i="21" a="1"/>
  <c r="M106" i="21" s="1"/>
  <c r="M108" i="21" a="1"/>
  <c r="M108" i="21" s="1"/>
  <c r="L230" i="21" a="1"/>
  <c r="L230" i="21" s="1"/>
  <c r="O230" i="21" s="1"/>
  <c r="P230" i="21" s="1"/>
  <c r="L190" i="21" a="1"/>
  <c r="L190" i="21" s="1"/>
  <c r="M234" i="21" a="1"/>
  <c r="M234"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178" i="21" l="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215" i="21"/>
  <c r="P215" i="21" s="1"/>
  <c r="O68" i="21"/>
  <c r="P68" i="21" s="1"/>
  <c r="O46" i="21"/>
  <c r="P46" i="21" s="1"/>
  <c r="O51" i="21"/>
  <c r="P51" i="21" s="1"/>
  <c r="O214" i="21"/>
  <c r="P214"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3" i="21"/>
  <c r="P213"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32" i="21"/>
  <c r="P232" i="21" s="1"/>
  <c r="L231" i="21"/>
  <c r="M231" i="21"/>
  <c r="O220" i="21"/>
  <c r="O39" i="21"/>
  <c r="P39" i="21" s="1"/>
  <c r="M204" i="21"/>
  <c r="M167" i="21"/>
  <c r="M105" i="21"/>
  <c r="M53" i="21"/>
  <c r="L220" i="21"/>
  <c r="M220" i="21"/>
  <c r="O74" i="21"/>
  <c r="P74" i="21" s="1"/>
  <c r="M175" i="21"/>
  <c r="M84" i="21"/>
  <c r="M125" i="21"/>
  <c r="M79" i="21"/>
  <c r="O113" i="21"/>
  <c r="P113" i="21" s="1"/>
  <c r="L112" i="21"/>
  <c r="O139" i="21"/>
  <c r="P139" i="21" s="1"/>
  <c r="L138" i="21"/>
  <c r="M194" i="21"/>
  <c r="O156" i="21"/>
  <c r="P156" i="21" s="1"/>
  <c r="O85" i="21"/>
  <c r="P85" i="21" s="1"/>
  <c r="L84" i="21"/>
  <c r="O205" i="21"/>
  <c r="P205" i="21" s="1"/>
  <c r="L204" i="21"/>
  <c r="M181" i="21"/>
  <c r="O54" i="21"/>
  <c r="P54" i="21" s="1"/>
  <c r="L53" i="21"/>
  <c r="O212" i="21"/>
  <c r="P212" i="21" s="1"/>
  <c r="L211" i="21"/>
  <c r="M161" i="21"/>
  <c r="M138" i="21"/>
  <c r="O168" i="21"/>
  <c r="P168" i="21" s="1"/>
  <c r="L167" i="21"/>
  <c r="O174" i="21"/>
  <c r="P174" i="21" s="1"/>
  <c r="L173" i="21"/>
  <c r="O126" i="21"/>
  <c r="P126" i="21" s="1"/>
  <c r="L125" i="21"/>
  <c r="M117" i="21"/>
  <c r="O201" i="21"/>
  <c r="P201" i="21" s="1"/>
  <c r="L200" i="21"/>
  <c r="O118" i="21"/>
  <c r="P118" i="21" s="1"/>
  <c r="L117" i="21"/>
  <c r="O162" i="21"/>
  <c r="P162" i="21" s="1"/>
  <c r="L161" i="21"/>
  <c r="O208" i="21"/>
  <c r="P208" i="21" s="1"/>
  <c r="L207" i="21"/>
  <c r="O182" i="21"/>
  <c r="P182" i="21" s="1"/>
  <c r="L181" i="21"/>
  <c r="O106" i="21"/>
  <c r="P106" i="21" s="1"/>
  <c r="L105" i="21"/>
  <c r="O71" i="21"/>
  <c r="L70" i="21"/>
  <c r="O80" i="21"/>
  <c r="P80" i="21" s="1"/>
  <c r="L79" i="21"/>
  <c r="O189" i="21"/>
  <c r="L188"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20" i="21" l="1"/>
  <c r="P189" i="21"/>
  <c r="O188" i="21"/>
  <c r="P188" i="21" s="1"/>
  <c r="O70" i="21"/>
  <c r="P71" i="21"/>
  <c r="P63" i="21"/>
  <c r="O173" i="21"/>
  <c r="P173" i="21" s="1"/>
  <c r="O202" i="21"/>
  <c r="P202" i="21" s="1"/>
  <c r="O79" i="21"/>
  <c r="P79" i="21" s="1"/>
  <c r="O207" i="21"/>
  <c r="P207" i="21" s="1"/>
  <c r="O84" i="21"/>
  <c r="P84" i="21" s="1"/>
  <c r="O171" i="21"/>
  <c r="P171" i="21" s="1"/>
  <c r="O53" i="21"/>
  <c r="P53" i="21" s="1"/>
  <c r="O125" i="21"/>
  <c r="P125" i="21" s="1"/>
  <c r="O211" i="21"/>
  <c r="P211" i="21" s="1"/>
  <c r="O161" i="21"/>
  <c r="P161" i="21" s="1"/>
  <c r="O117" i="21"/>
  <c r="P117" i="21" s="1"/>
  <c r="O200" i="21"/>
  <c r="P200" i="21" s="1"/>
  <c r="O204" i="21"/>
  <c r="P204" i="21" s="1"/>
  <c r="O112" i="21"/>
  <c r="P112" i="21" s="1"/>
  <c r="O231" i="21"/>
  <c r="P231" i="21" s="1"/>
  <c r="O105" i="21"/>
  <c r="P105" i="21" s="1"/>
  <c r="O167" i="21"/>
  <c r="P167" i="21" s="1"/>
  <c r="O194" i="21"/>
  <c r="P194" i="21" s="1"/>
  <c r="O181" i="21"/>
  <c r="P181" i="21" s="1"/>
  <c r="O175" i="21"/>
  <c r="P175" i="21" s="1"/>
  <c r="O138" i="21"/>
  <c r="P138" i="21" s="1"/>
  <c r="O30" i="21"/>
  <c r="P30" i="21" s="1"/>
  <c r="O17" i="21"/>
  <c r="P17" i="21" s="1"/>
  <c r="CD12" i="20"/>
  <c r="CD9" i="20"/>
  <c r="CE13" i="20"/>
  <c r="CF13" i="20" l="1"/>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<sst xmlns="http://schemas.openxmlformats.org/spreadsheetml/2006/main" count="28541" uniqueCount="2040">
  <si>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</si>
  <si>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</si>
  <si>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</si>
  <si>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</si>
  <si>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</si>
  <si>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</si>
  <si>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</si>
  <si>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</si>
  <si>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</si>
  <si>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</si>
  <si>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</si>
  <si>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</si>
  <si>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</si>
  <si>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</si>
  <si>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</si>
  <si>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</si>
  <si>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</si>
  <si>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</si>
  <si>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</si>
  <si>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</si>
  <si>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</si>
  <si>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</si>
  <si>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</si>
  <si>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</si>
  <si>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</si>
  <si>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</si>
  <si>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</si>
  <si>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</si>
  <si>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</si>
  <si>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</si>
  <si>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</si>
  <si>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</si>
  <si>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</si>
  <si>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</si>
  <si>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</si>
  <si>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</si>
  <si>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</si>
  <si>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</si>
  <si>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</si>
  <si>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</si>
  <si>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</si>
  <si>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</si>
  <si>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</si>
  <si>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</si>
  <si>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</si>
  <si>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</si>
  <si>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</si>
  <si>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</si>
  <si>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</si>
  <si>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</si>
  <si>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</si>
  <si>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</si>
  <si>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</si>
  <si>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</si>
  <si>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</si>
  <si>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</si>
  <si>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</si>
  <si>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</si>
  <si>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</si>
  <si>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</si>
  <si>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</si>
  <si>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</si>
  <si>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</si>
  <si>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</si>
  <si>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</si>
  <si>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</si>
  <si>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</si>
  <si>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</si>
  <si>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</si>
  <si>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</si>
  <si>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</si>
  <si>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</si>
  <si>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</si>
  <si>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</si>
  <si>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</si>
  <si>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</si>
  <si>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</si>
  <si>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</si>
  <si>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</si>
  <si>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</si>
  <si>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</si>
  <si>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</si>
  <si>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</si>
  <si>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</si>
  <si>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</si>
  <si>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</si>
  <si>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</si>
  <si>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</si>
  <si>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</si>
  <si>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</si>
  <si>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</si>
  <si>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</si>
  <si>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</si>
  <si>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</si>
  <si>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</si>
  <si>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</si>
  <si>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</si>
  <si>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</si>
  <si>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</si>
  <si>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</si>
  <si>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</si>
  <si>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</si>
  <si>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</si>
  <si>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</si>
  <si>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</si>
  <si>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</si>
  <si>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</si>
  <si>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</si>
  <si>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</si>
  <si>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</si>
  <si>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</si>
  <si>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</si>
  <si>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</si>
  <si>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</si>
  <si>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</si>
  <si>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</si>
  <si>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</si>
  <si>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</si>
  <si>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</si>
  <si>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</si>
  <si>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</si>
  <si>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</si>
  <si>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</si>
  <si>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</si>
  <si>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</si>
  <si>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</si>
  <si>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</si>
  <si>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</si>
  <si>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</si>
  <si>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</si>
  <si>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</si>
  <si>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</si>
  <si>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</si>
  <si>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</si>
  <si>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</si>
  <si>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</si>
  <si>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</si>
  <si>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</si>
  <si>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</si>
  <si>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</si>
  <si>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</si>
  <si>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</si>
  <si>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</si>
  <si>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</si>
  <si>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</si>
  <si>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</si>
  <si>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</si>
  <si>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</si>
  <si>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</si>
  <si>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</si>
  <si>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</si>
  <si>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</si>
  <si>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</si>
  <si>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</si>
  <si>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</si>
  <si>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</si>
  <si>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</si>
  <si>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</si>
  <si>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</si>
  <si>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</si>
  <si>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</si>
  <si>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</si>
  <si>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</si>
  <si>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</si>
  <si>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</si>
  <si>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</si>
  <si>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</si>
  <si>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</si>
  <si>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</si>
  <si>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</si>
  <si>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</si>
  <si>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</si>
  <si>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</si>
  <si>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</si>
  <si>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</si>
  <si>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</si>
  <si>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</si>
  <si>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</si>
  <si>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</si>
  <si>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</si>
  <si>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</si>
  <si>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</si>
  <si>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</si>
  <si>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</si>
  <si>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</si>
  <si>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</si>
  <si>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</si>
  <si>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</si>
  <si>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</si>
  <si>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</si>
  <si>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</si>
  <si>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</si>
  <si>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</si>
  <si>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</si>
  <si>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</si>
  <si>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</si>
  <si>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</si>
  <si>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</si>
  <si>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</si>
  <si>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</si>
  <si>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</si>
  <si>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</si>
  <si>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</si>
  <si>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</si>
  <si>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</si>
  <si>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</si>
  <si>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</si>
  <si>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</si>
  <si>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</si>
  <si>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</si>
  <si>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</si>
  <si>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</si>
  <si>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</si>
  <si>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</si>
  <si>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</si>
  <si>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</si>
  <si>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</si>
  <si>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</si>
  <si>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</si>
  <si>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</si>
  <si>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</si>
  <si>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</si>
  <si>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</si>
  <si>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</si>
  <si>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</si>
  <si>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</si>
  <si>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</si>
  <si>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</si>
  <si>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</si>
  <si>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</si>
  <si>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</si>
  <si>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</si>
  <si>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</si>
  <si>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</si>
  <si>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</si>
  <si>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</si>
  <si>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</si>
  <si>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</si>
  <si>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</si>
  <si>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</si>
  <si>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</si>
  <si>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</si>
  <si>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</si>
  <si>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</si>
  <si>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</si>
  <si>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</si>
  <si>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</si>
  <si>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</si>
  <si>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</si>
  <si>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</si>
  <si>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</si>
  <si>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</si>
  <si>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</si>
  <si>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</si>
  <si>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</si>
  <si>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</si>
  <si>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</si>
  <si>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</si>
  <si>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</si>
  <si>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</si>
  <si>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</si>
  <si>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</si>
  <si>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</si>
  <si>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</si>
  <si>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</si>
  <si>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</si>
  <si>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</si>
  <si>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</si>
  <si>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</si>
  <si>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</si>
  <si>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</si>
  <si>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</si>
  <si>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</si>
  <si>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</si>
  <si>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</si>
  <si>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</si>
  <si>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</si>
  <si>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</si>
  <si>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</si>
  <si>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</si>
  <si>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</si>
  <si>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</si>
  <si>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</si>
  <si>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</si>
  <si>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</si>
  <si>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</si>
  <si>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</si>
  <si>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</si>
  <si>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</si>
  <si>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</si>
  <si>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</si>
  <si>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</si>
  <si>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</si>
  <si>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</si>
  <si>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</si>
  <si>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</si>
  <si>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</si>
  <si>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</si>
  <si>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</si>
  <si>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</si>
  <si>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</si>
  <si>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</si>
  <si>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</si>
  <si>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</si>
  <si>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</si>
  <si>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</si>
  <si>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</si>
  <si>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</si>
  <si>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</si>
  <si>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</si>
  <si>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</si>
  <si>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</si>
  <si>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</si>
  <si>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</si>
  <si>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</si>
  <si>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</si>
  <si>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</si>
  <si>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</si>
  <si>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</si>
  <si>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</si>
  <si>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</si>
  <si>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</si>
  <si>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</si>
  <si>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</si>
  <si>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</si>
  <si>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</si>
  <si>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</si>
  <si>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</si>
  <si>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</si>
  <si>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</si>
  <si>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</si>
  <si>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</si>
  <si>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</si>
  <si>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</si>
  <si>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</si>
  <si>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</si>
  <si>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</si>
  <si>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</si>
  <si>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</si>
  <si>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</si>
  <si>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</si>
  <si>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</si>
  <si>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</si>
  <si>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</si>
  <si>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</si>
  <si>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</si>
  <si>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</si>
  <si>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</si>
  <si>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</si>
  <si>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</si>
  <si>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</si>
  <si>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</si>
  <si>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</si>
  <si>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</si>
  <si>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</si>
  <si>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</si>
  <si>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</si>
  <si>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</si>
  <si>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</si>
  <si>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</si>
  <si>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</si>
  <si>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</si>
  <si>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</si>
  <si>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</si>
  <si>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</si>
  <si>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</si>
  <si>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</si>
  <si>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</si>
  <si>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</si>
  <si>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</si>
  <si>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</si>
  <si>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</si>
  <si>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</si>
  <si>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</si>
  <si>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</si>
  <si>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</si>
  <si>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</si>
  <si>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</si>
  <si>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</si>
  <si>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</si>
  <si>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</si>
  <si>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</si>
  <si>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</si>
  <si>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</si>
  <si>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</si>
  <si>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</si>
  <si>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</si>
  <si>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</si>
  <si>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</si>
  <si>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</si>
  <si>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</si>
  <si>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</si>
  <si>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</si>
  <si>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</si>
  <si>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</si>
  <si>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</si>
  <si>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</si>
  <si>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</si>
  <si>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</si>
  <si>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</si>
  <si>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</si>
  <si>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</si>
  <si>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</si>
  <si>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</si>
  <si>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</si>
  <si>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</si>
  <si>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</si>
  <si>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</si>
  <si>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</si>
  <si>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</si>
  <si>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</si>
  <si>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</si>
  <si>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</si>
  <si>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</si>
  <si>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</si>
  <si>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</si>
  <si>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</si>
  <si>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</si>
  <si>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</si>
  <si>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</si>
  <si>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</si>
  <si>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</si>
  <si>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</si>
  <si>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</si>
  <si>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</si>
  <si>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</si>
  <si>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</si>
  <si>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</si>
  <si>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</si>
  <si>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</si>
  <si>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</si>
  <si>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</si>
  <si>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</si>
  <si>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</si>
  <si>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</si>
  <si>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</si>
  <si>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</si>
  <si>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</si>
  <si>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</si>
  <si>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</si>
  <si>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</si>
  <si>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</si>
  <si>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</si>
  <si>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</si>
  <si>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</si>
  <si>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</si>
  <si>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</si>
  <si>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</si>
  <si>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</si>
  <si>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</si>
  <si>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</si>
  <si>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</si>
  <si>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</si>
  <si>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</si>
  <si>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</si>
  <si>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</si>
  <si>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</si>
  <si>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</si>
  <si>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</si>
  <si>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</si>
  <si>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</si>
  <si>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</si>
  <si>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</si>
  <si>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</si>
  <si>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</si>
  <si>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</si>
  <si>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</si>
  <si>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</si>
  <si>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</si>
  <si>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</si>
  <si>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</si>
  <si>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</si>
  <si>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</si>
  <si>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</si>
  <si>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</si>
  <si>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</si>
  <si>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</si>
  <si>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</si>
  <si>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</si>
  <si>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</si>
  <si>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</si>
  <si>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</si>
  <si>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</si>
  <si>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</si>
  <si>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</si>
  <si>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</si>
  <si>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</si>
  <si>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</si>
  <si>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</si>
  <si>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</si>
  <si>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</si>
  <si>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</si>
  <si>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</si>
  <si>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</si>
  <si>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</si>
  <si>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</si>
  <si>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</si>
  <si>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</si>
  <si>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</si>
  <si>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</si>
  <si>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</si>
  <si>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</si>
  <si>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</si>
  <si>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</si>
  <si>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</si>
  <si>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</si>
  <si>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</si>
  <si>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</si>
  <si>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</si>
  <si>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</si>
  <si>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</si>
  <si>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</si>
  <si>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</si>
  <si>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</si>
  <si>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</si>
  <si>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</si>
  <si>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</si>
  <si>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</si>
  <si>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</si>
  <si>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</si>
  <si>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</si>
  <si>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</si>
  <si>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</si>
  <si>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</si>
  <si>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</si>
  <si>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</si>
  <si>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</si>
  <si>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</si>
  <si>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</si>
  <si>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</si>
  <si>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</si>
  <si>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</si>
  <si>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</si>
  <si>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</si>
  <si>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</si>
  <si>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</si>
  <si>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</si>
  <si>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</si>
  <si>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</si>
  <si>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</si>
  <si>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</si>
  <si>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</si>
  <si>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</si>
  <si>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</si>
  <si>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</si>
  <si>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</si>
  <si>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</si>
  <si>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</si>
  <si>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</si>
  <si>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</si>
  <si>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</si>
  <si>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</si>
  <si>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</si>
  <si>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</si>
  <si>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</si>
  <si>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</si>
  <si>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</si>
  <si>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</si>
  <si>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</si>
  <si>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</si>
  <si>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</si>
  <si>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</si>
  <si>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</si>
  <si>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</si>
  <si>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</si>
  <si>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</si>
  <si>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</si>
  <si>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</si>
  <si>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</si>
  <si>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</si>
  <si>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</si>
  <si>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</si>
  <si>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</si>
  <si>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</si>
  <si>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</si>
  <si>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</si>
  <si>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</si>
  <si>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</si>
  <si>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</si>
  <si>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</si>
  <si>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</si>
  <si>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</si>
  <si>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</si>
  <si>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</si>
  <si>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</si>
  <si>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</si>
  <si>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</si>
  <si>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</si>
  <si>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</si>
  <si>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</si>
  <si>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</si>
  <si>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</si>
  <si>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</si>
  <si>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</si>
  <si>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</si>
  <si>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</si>
  <si>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</si>
  <si>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</si>
  <si>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</si>
  <si>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</si>
  <si>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</si>
  <si>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</si>
  <si>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</si>
  <si>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</si>
  <si>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</si>
  <si>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</si>
  <si>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</si>
  <si>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</si>
  <si>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</si>
  <si>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</si>
  <si>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</si>
  <si>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</si>
  <si>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</si>
  <si>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</si>
  <si>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</si>
  <si>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</si>
  <si>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</si>
  <si>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</si>
  <si>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</si>
  <si>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</si>
  <si>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</si>
  <si>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</si>
  <si>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</si>
  <si>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</si>
  <si>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</si>
  <si>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</si>
  <si>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</si>
  <si>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</si>
  <si>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</si>
  <si>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</si>
  <si>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</si>
  <si>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</si>
  <si>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</si>
  <si>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</si>
  <si>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</si>
  <si>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</si>
  <si>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</si>
  <si>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</si>
  <si>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</si>
  <si>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</si>
  <si>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</si>
  <si>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</si>
  <si>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</si>
  <si>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</si>
  <si>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</si>
  <si>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</si>
  <si>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</si>
  <si>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</si>
  <si>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</si>
  <si>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</si>
  <si>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</si>
  <si>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</si>
  <si>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</si>
  <si>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</si>
  <si>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</si>
  <si>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</si>
  <si>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</si>
  <si>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</si>
  <si>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</si>
  <si>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</si>
  <si>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</si>
  <si>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</si>
  <si>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</si>
  <si>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</si>
  <si>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</si>
  <si>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</si>
  <si>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</si>
  <si>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</si>
  <si>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</si>
  <si>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</si>
  <si>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</si>
  <si>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</si>
  <si>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</si>
  <si>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</si>
  <si>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</si>
  <si>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</si>
  <si>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</si>
  <si>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</si>
  <si>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</si>
  <si>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</si>
  <si>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</si>
  <si>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</si>
  <si>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</si>
  <si>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</si>
  <si>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</si>
  <si>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</si>
  <si>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</si>
  <si>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</si>
  <si>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</si>
  <si>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</si>
  <si>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</si>
  <si>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</si>
  <si>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</si>
  <si>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</si>
  <si>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</si>
  <si>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</si>
  <si>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</si>
  <si>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</si>
  <si>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</si>
  <si>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</si>
  <si>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</si>
  <si>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</si>
  <si>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</si>
  <si>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</si>
  <si>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</si>
  <si>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</si>
  <si>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</si>
  <si>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</si>
  <si>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</si>
  <si>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</si>
  <si>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</si>
  <si>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</si>
  <si>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</si>
  <si>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</si>
  <si>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</si>
  <si>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</si>
  <si>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</si>
  <si>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</si>
  <si>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</si>
  <si>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</si>
  <si>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</si>
  <si>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</si>
  <si>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</si>
  <si>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</si>
  <si>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</si>
  <si>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</si>
  <si>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</si>
  <si>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</si>
  <si>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</si>
  <si>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</si>
  <si>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</si>
  <si>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</si>
  <si>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</si>
  <si>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</si>
  <si>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</si>
  <si>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</si>
  <si>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</si>
  <si>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</si>
  <si>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</si>
  <si>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</si>
  <si>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</si>
  <si>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</si>
  <si>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</si>
  <si>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</si>
  <si>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</si>
  <si>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</si>
  <si>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</si>
  <si>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</si>
  <si>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</si>
  <si>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</si>
  <si>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</si>
  <si>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</si>
  <si>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</si>
  <si>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</si>
  <si>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</si>
  <si>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</si>
  <si>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</si>
  <si>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</si>
  <si>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</si>
  <si>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</si>
  <si>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</si>
  <si>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</si>
  <si>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</si>
  <si>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</si>
  <si>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</si>
  <si>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</si>
  <si>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</si>
  <si>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</si>
  <si>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</si>
  <si>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</si>
  <si>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</si>
  <si>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</si>
  <si>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</si>
  <si>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</si>
  <si>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</si>
  <si>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</si>
  <si>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</si>
  <si>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</si>
  <si>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</si>
  <si>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</si>
  <si>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</si>
  <si>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</si>
  <si>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</si>
  <si>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</si>
  <si>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</si>
  <si>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</si>
  <si>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</si>
  <si>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</si>
  <si>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</si>
  <si>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</si>
  <si>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</si>
  <si>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</si>
  <si>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</si>
  <si>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</si>
  <si>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</si>
  <si>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</si>
  <si>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</si>
  <si>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</si>
  <si>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</si>
  <si>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</si>
  <si>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</si>
  <si>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</si>
  <si>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</si>
  <si>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</si>
  <si>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</si>
  <si>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</si>
  <si>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</si>
  <si>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</si>
  <si>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</si>
  <si>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</si>
  <si>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</si>
  <si>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</si>
  <si>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</si>
  <si>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</si>
  <si>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</si>
  <si>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</si>
  <si>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</si>
  <si>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</si>
  <si>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</si>
  <si>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</si>
  <si>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</si>
  <si>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</si>
  <si>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</si>
  <si>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</si>
  <si>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</si>
  <si>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</si>
  <si>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</si>
  <si>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</si>
  <si>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</si>
  <si>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</si>
  <si>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</si>
  <si>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</si>
  <si>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</si>
  <si>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</si>
  <si>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</si>
  <si>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</si>
  <si>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</si>
  <si>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</si>
  <si>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</si>
  <si>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</si>
  <si>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</si>
  <si>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</si>
  <si>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</si>
  <si>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</si>
  <si>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</si>
  <si>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</si>
  <si>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</si>
  <si>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</si>
  <si>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</si>
  <si>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</si>
  <si>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</si>
  <si>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</si>
  <si>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</si>
  <si>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</si>
  <si>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</si>
  <si>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</si>
  <si>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</si>
  <si>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</si>
  <si>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</si>
  <si>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</si>
  <si>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</si>
  <si>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</si>
  <si>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</si>
  <si>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</si>
  <si>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</si>
  <si>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</si>
  <si>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</si>
  <si>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</si>
  <si>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</si>
  <si>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</si>
  <si>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</si>
  <si>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</si>
  <si>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</si>
  <si>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</si>
  <si>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</si>
  <si>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</si>
  <si>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</si>
  <si>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</si>
  <si>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</si>
  <si>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</si>
  <si>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</si>
  <si>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</si>
  <si>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</si>
  <si>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</si>
  <si>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</si>
  <si>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</si>
  <si>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</si>
  <si>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</si>
  <si>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</si>
  <si>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</si>
  <si>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</si>
  <si>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</si>
  <si>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</si>
  <si>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</si>
  <si>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</si>
  <si>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</si>
  <si>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</si>
  <si>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</si>
  <si>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</si>
  <si>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</si>
  <si>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</si>
  <si>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</si>
  <si>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</si>
  <si>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</si>
  <si>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</si>
  <si>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</si>
  <si>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</si>
  <si>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</si>
  <si>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</si>
  <si>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</si>
  <si>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</si>
  <si>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</si>
  <si>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</si>
  <si>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</si>
  <si>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</si>
  <si>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</si>
  <si>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</si>
  <si>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</si>
  <si>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</si>
  <si>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</si>
  <si>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</si>
  <si>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</si>
  <si>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</si>
  <si>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</si>
  <si>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</si>
  <si>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</si>
  <si>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</si>
  <si>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</si>
  <si>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</si>
  <si>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</si>
  <si>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</si>
  <si>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</si>
  <si>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</si>
  <si>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</si>
  <si>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</si>
  <si>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</si>
  <si>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</si>
  <si>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</si>
  <si>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</si>
  <si>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</si>
  <si>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</si>
  <si>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</si>
  <si>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</si>
  <si>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</si>
  <si>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</si>
  <si>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</si>
  <si>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</si>
  <si>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</si>
  <si>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</si>
  <si>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</si>
  <si>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</si>
  <si>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</si>
  <si>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</si>
  <si>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</si>
  <si>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</si>
  <si>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</si>
  <si>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</si>
  <si>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</si>
  <si>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</si>
  <si>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</si>
  <si>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</si>
  <si>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</si>
  <si>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</si>
  <si>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</si>
  <si>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</si>
  <si>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</si>
  <si>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</si>
  <si>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</si>
  <si>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</si>
  <si>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</si>
  <si>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</si>
  <si>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</si>
  <si>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</si>
  <si>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</si>
  <si>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</si>
  <si>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</si>
  <si>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</si>
  <si>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</si>
  <si>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</si>
  <si>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</si>
  <si>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</si>
  <si>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</si>
  <si>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</si>
  <si>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</si>
  <si>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</si>
  <si>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</si>
  <si>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</si>
  <si>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</si>
  <si>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</si>
  <si>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</si>
  <si>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</si>
  <si>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</si>
  <si>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</si>
  <si>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</si>
  <si>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</si>
  <si>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</si>
  <si>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</si>
  <si>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</si>
  <si>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</si>
  <si>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</si>
  <si>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</si>
  <si>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</si>
  <si>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</si>
  <si>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</si>
  <si>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</si>
  <si>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</si>
  <si>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</si>
  <si>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</si>
  <si>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</si>
  <si>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</si>
  <si>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</si>
  <si>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</si>
  <si>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</si>
  <si>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</si>
  <si>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</si>
  <si>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</si>
  <si>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</si>
  <si>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</si>
  <si>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</si>
  <si>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</si>
  <si>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</si>
  <si>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</si>
  <si>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</si>
  <si>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</si>
  <si>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</si>
  <si>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</si>
  <si>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</si>
  <si>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</si>
  <si>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</si>
  <si>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</si>
  <si>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</si>
  <si>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</si>
  <si>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</si>
  <si>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</si>
  <si>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</si>
  <si>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</si>
  <si>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</si>
  <si>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</si>
  <si>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</si>
  <si>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</si>
  <si>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</si>
  <si>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</si>
  <si>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</si>
  <si>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</si>
  <si>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</si>
  <si>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</si>
  <si>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</si>
  <si>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</si>
  <si>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</si>
  <si>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</si>
  <si>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</si>
  <si>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</si>
  <si>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</si>
  <si>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</si>
  <si>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</si>
  <si>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</si>
  <si>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</si>
  <si>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</si>
  <si>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</si>
  <si>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</si>
  <si>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</si>
  <si>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</si>
  <si>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</si>
  <si>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</si>
  <si>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</si>
  <si>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</si>
  <si>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</si>
  <si>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</si>
  <si>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</si>
  <si>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</si>
  <si>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</si>
  <si>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</si>
  <si>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</si>
  <si>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</si>
  <si>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</si>
  <si>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</si>
  <si>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</si>
  <si>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</si>
  <si>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</si>
  <si>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</si>
  <si>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</si>
  <si>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</si>
  <si>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</si>
  <si>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</si>
  <si>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</si>
  <si>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</si>
  <si>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</si>
  <si>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</si>
  <si>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</si>
  <si>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</si>
  <si>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</si>
  <si>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</si>
  <si>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</si>
  <si>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</si>
  <si>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</si>
  <si>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</si>
  <si>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</si>
  <si>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</si>
  <si>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</si>
  <si>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</si>
  <si>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</si>
  <si>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</si>
  <si>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</si>
  <si>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</si>
  <si>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</si>
  <si>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</si>
  <si>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</si>
  <si>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</si>
  <si>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</si>
  <si>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</si>
  <si>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</si>
  <si>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</si>
  <si>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</si>
  <si>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</si>
  <si>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</si>
  <si>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</si>
  <si>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</si>
  <si>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</si>
  <si>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</si>
  <si>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</si>
  <si>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</si>
  <si>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</si>
  <si>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</si>
  <si>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</si>
  <si>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</si>
  <si>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</si>
  <si>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</si>
  <si>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</si>
  <si>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</si>
  <si>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</si>
  <si>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</si>
  <si>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</si>
  <si>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</si>
  <si>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</si>
  <si>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</si>
  <si>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</si>
  <si>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</si>
  <si>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</si>
  <si>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</si>
  <si>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</si>
  <si>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</si>
  <si>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</si>
  <si>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</si>
  <si>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</si>
  <si>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</si>
  <si>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</si>
  <si>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</si>
  <si>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</si>
  <si>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</si>
  <si>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</si>
  <si>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</si>
  <si>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</si>
  <si>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</si>
  <si>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</si>
  <si>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</si>
  <si>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</si>
  <si>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</si>
  <si>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</si>
  <si>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</si>
  <si>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</si>
  <si>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</si>
  <si>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</si>
  <si>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</si>
  <si>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</si>
  <si>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</si>
  <si>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</si>
  <si>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</si>
  <si>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</si>
  <si>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</si>
  <si>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</si>
  <si>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</si>
  <si>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</si>
  <si>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</si>
  <si>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</si>
  <si>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</si>
  <si>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</si>
  <si>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</si>
  <si>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</si>
  <si>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</si>
  <si>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</si>
  <si>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</si>
  <si>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</si>
  <si>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</si>
  <si>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</si>
  <si>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</si>
  <si>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</si>
  <si>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</si>
  <si>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</si>
  <si>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</si>
  <si>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</si>
  <si>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</si>
  <si>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</si>
  <si>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</si>
  <si>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</si>
  <si>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</si>
  <si>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</si>
  <si>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</si>
  <si>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</si>
  <si>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</si>
  <si>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</si>
  <si>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</si>
  <si>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</si>
  <si>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</si>
  <si>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</si>
  <si>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</si>
  <si>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</si>
  <si>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</si>
  <si>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</si>
  <si>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</si>
  <si>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</si>
  <si>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</si>
  <si>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</si>
  <si>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</si>
  <si>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</si>
  <si>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</si>
  <si>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</si>
  <si>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</si>
  <si>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</si>
  <si>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</si>
  <si>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</si>
  <si>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</si>
  <si>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</si>
  <si>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</si>
  <si>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</si>
  <si>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</si>
  <si>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</si>
  <si>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</si>
  <si>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</si>
  <si>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</si>
  <si>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</si>
  <si>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</si>
  <si>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</si>
  <si>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</si>
  <si>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</si>
  <si>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</si>
  <si>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</si>
  <si>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</si>
  <si>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</si>
  <si>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</si>
  <si>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</si>
  <si>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</si>
  <si>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</si>
  <si>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</si>
  <si>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</si>
  <si>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</si>
  <si>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</si>
  <si>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</si>
  <si>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</si>
  <si>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</si>
  <si>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</si>
  <si>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</si>
  <si>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</si>
  <si>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</si>
  <si>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</si>
  <si>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</si>
  <si>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</si>
  <si>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</si>
  <si>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</si>
  <si>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</si>
  <si>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</si>
  <si>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</si>
  <si>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</si>
  <si>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</si>
  <si>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</si>
  <si>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</si>
  <si>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</si>
  <si>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</si>
  <si>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</si>
  <si>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</si>
  <si>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</si>
  <si>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</si>
  <si>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</si>
  <si>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</si>
  <si>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</si>
  <si>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</si>
  <si>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</si>
  <si>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</si>
  <si>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</si>
  <si>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</si>
  <si>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</si>
  <si>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</si>
  <si>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</si>
  <si>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</si>
  <si>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</si>
  <si>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</si>
  <si>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</si>
  <si>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</si>
  <si>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</si>
  <si>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</si>
  <si>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</si>
  <si>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</si>
  <si>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</si>
  <si>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</si>
  <si>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</si>
  <si>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</si>
  <si>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</si>
  <si>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</si>
  <si>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</si>
  <si>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</si>
  <si>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</si>
  <si>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</si>
  <si>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</si>
  <si>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</si>
  <si>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</si>
  <si>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</si>
  <si>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</si>
  <si>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</si>
  <si>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</si>
  <si>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</si>
  <si>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</si>
  <si>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</si>
  <si>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</si>
  <si>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</si>
  <si>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</si>
  <si>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</si>
  <si>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</si>
  <si>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</si>
  <si>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</si>
  <si>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</si>
  <si>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</si>
  <si>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</si>
  <si>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</si>
  <si>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</si>
  <si>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</si>
  <si>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</si>
  <si>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</si>
  <si>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</si>
  <si>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</si>
  <si>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</si>
  <si>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</si>
  <si>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</si>
  <si>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</si>
  <si>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</si>
  <si>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</si>
  <si>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</si>
  <si>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</si>
  <si>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</si>
  <si>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</si>
  <si>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</si>
  <si>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</si>
  <si>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</si>
  <si>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</si>
  <si>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</si>
  <si>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</si>
  <si>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</si>
  <si>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</si>
  <si>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</si>
  <si>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</si>
  <si>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</si>
  <si>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</si>
  <si>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</si>
  <si>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</si>
  <si>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</si>
  <si>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</si>
  <si>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</si>
  <si>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</si>
  <si>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</si>
  <si>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</si>
  <si>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</si>
  <si>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</si>
  <si>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</si>
  <si>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</si>
  <si>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</si>
  <si>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</si>
  <si>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</si>
  <si>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</si>
  <si>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</si>
  <si>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</si>
  <si>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</si>
  <si>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</si>
  <si>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</si>
  <si>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</si>
  <si>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</si>
  <si>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</si>
  <si>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</si>
  <si>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</si>
  <si>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</si>
  <si>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</si>
  <si>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</si>
  <si>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</si>
  <si>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</si>
  <si>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</si>
  <si>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</si>
  <si>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</si>
  <si>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</si>
  <si>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</si>
  <si>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</si>
  <si>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</si>
  <si>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</si>
  <si>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</si>
  <si>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</si>
  <si>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</si>
  <si>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</si>
  <si>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</si>
  <si>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</si>
  <si>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</si>
  <si>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</si>
  <si>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</si>
  <si>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</si>
  <si>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</si>
  <si>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</si>
  <si>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</si>
  <si>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</si>
  <si>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</si>
  <si>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</si>
  <si>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</si>
  <si>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</si>
  <si>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</si>
  <si>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</si>
  <si>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</si>
  <si>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</si>
  <si>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</si>
  <si>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</si>
  <si>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</si>
  <si>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</si>
  <si>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</si>
  <si>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</si>
  <si>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</si>
  <si>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</si>
  <si>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</si>
  <si>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</si>
  <si>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</si>
  <si>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</si>
  <si>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</si>
  <si>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</si>
  <si>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</si>
  <si>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</si>
  <si>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</si>
  <si>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</si>
  <si>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</si>
  <si>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</si>
  <si>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</si>
  <si>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</si>
  <si>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</si>
  <si>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</si>
  <si>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</si>
  <si>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</si>
  <si>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</si>
  <si>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</si>
  <si>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</si>
  <si>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</si>
  <si>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</si>
  <si>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</si>
  <si>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</si>
  <si>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</si>
  <si>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</si>
  <si>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</si>
  <si>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</si>
  <si>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</si>
  <si>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</si>
  <si>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</si>
  <si>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</si>
  <si>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</si>
  <si>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</si>
  <si>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</si>
  <si>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</si>
  <si>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</si>
  <si>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</si>
  <si>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</si>
  <si>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</si>
  <si>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</si>
  <si>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</si>
  <si>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</si>
  <si>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</si>
  <si>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</si>
  <si>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</si>
  <si>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</si>
  <si>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</si>
  <si>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</si>
  <si>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</si>
  <si>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</si>
  <si>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</si>
  <si>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</si>
  <si>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</si>
  <si>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</si>
  <si>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</si>
  <si>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</si>
  <si>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</si>
  <si>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</si>
  <si>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</si>
  <si>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</si>
  <si>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</si>
  <si>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</si>
  <si>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</si>
  <si>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</si>
  <si>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</si>
  <si>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</si>
  <si>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</si>
  <si>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</si>
  <si>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</si>
  <si>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</si>
  <si>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</si>
  <si>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</si>
  <si>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</si>
  <si>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</si>
  <si>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</si>
  <si>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</si>
  <si>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</si>
  <si>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</si>
  <si>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</si>
  <si>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</si>
  <si>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</si>
  <si>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</si>
  <si>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</si>
  <si>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</si>
  <si>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</si>
  <si>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</si>
  <si>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</si>
  <si>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</si>
  <si>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</si>
  <si>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</si>
  <si>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</si>
  <si>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</si>
  <si>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</si>
  <si>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</si>
  <si>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</si>
  <si>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</si>
  <si>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</si>
  <si>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</si>
  <si>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</si>
  <si>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</si>
  <si>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</si>
  <si>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</si>
  <si>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</si>
  <si>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</si>
  <si>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</si>
  <si>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</si>
  <si>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</si>
  <si>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</si>
  <si>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</si>
  <si>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</si>
  <si>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</si>
  <si>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</si>
  <si>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</si>
  <si>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</si>
  <si>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</si>
  <si>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</si>
  <si>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</si>
  <si>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</si>
  <si>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</si>
  <si>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</si>
  <si>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</si>
  <si>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</si>
  <si>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</si>
  <si>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</si>
  <si>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</si>
  <si>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</si>
  <si>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</si>
  <si>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</si>
  <si>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</si>
  <si>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</si>
  <si>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</si>
  <si>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</si>
  <si>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</si>
  <si>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</si>
  <si>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</si>
  <si>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</si>
  <si>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</si>
  <si>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</si>
  <si>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</si>
  <si>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</si>
  <si>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</si>
  <si>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</si>
  <si>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</si>
  <si>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</si>
  <si>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</si>
  <si>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</si>
  <si>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</si>
  <si>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</si>
  <si>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</si>
  <si>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</si>
  <si>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</si>
  <si>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</si>
  <si>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</si>
  <si>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</si>
  <si>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</si>
  <si>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</si>
  <si>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</si>
  <si>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</si>
  <si>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</si>
  <si>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</si>
  <si>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</si>
  <si>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</si>
  <si>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</si>
  <si>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</si>
  <si>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</si>
  <si>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</si>
  <si>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</si>
  <si>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</si>
  <si>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</si>
  <si>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</si>
  <si>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</si>
  <si>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</si>
  <si>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</si>
  <si>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</si>
  <si>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</si>
  <si>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</si>
  <si>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</si>
  <si>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</si>
  <si>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</si>
  <si>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</si>
  <si>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</si>
  <si>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</si>
  <si>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</si>
  <si>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</si>
  <si>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</si>
  <si>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</si>
  <si>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</si>
  <si>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</si>
  <si>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</si>
  <si>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</si>
  <si>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</si>
  <si>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</si>
  <si>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</si>
  <si>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</si>
  <si>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</si>
  <si>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</si>
  <si>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</si>
  <si>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</si>
  <si>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</si>
  <si>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</si>
  <si>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</si>
  <si>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</si>
  <si>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</si>
  <si>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</si>
  <si>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</si>
  <si>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</si>
  <si>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</si>
  <si>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</si>
  <si>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</si>
  <si>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</si>
  <si>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</si>
  <si>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</si>
  <si>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</si>
  <si>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</si>
  <si>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</si>
  <si>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</si>
  <si>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</si>
  <si>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</si>
  <si>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</si>
  <si>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</si>
  <si>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</si>
  <si>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</si>
  <si>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</si>
  <si>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</si>
  <si>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</si>
  <si>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</si>
  <si>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</si>
  <si>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</si>
  <si>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</si>
  <si>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</si>
  <si>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</si>
  <si>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</si>
  <si>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</si>
  <si>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</si>
  <si>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</si>
  <si>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</si>
  <si>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</si>
  <si>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</si>
  <si>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</si>
  <si>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</si>
  <si>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</si>
  <si>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</si>
  <si>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</si>
  <si>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</si>
  <si>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</si>
  <si>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</si>
  <si>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</si>
  <si>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</si>
  <si>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</si>
  <si>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</si>
  <si>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</si>
  <si>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</si>
  <si>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</si>
  <si>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</si>
  <si>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</si>
  <si>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</si>
  <si>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</si>
  <si>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</si>
  <si>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</si>
  <si>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</si>
  <si>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</si>
  <si>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</si>
  <si>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</si>
  <si>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</si>
  <si>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</si>
  <si>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</si>
  <si>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</si>
  <si>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</si>
  <si>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</si>
  <si>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</si>
  <si>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</si>
  <si>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</si>
  <si>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</si>
  <si>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</si>
  <si>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</si>
  <si>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</si>
  <si>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</si>
  <si>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</si>
  <si>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</si>
  <si>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</si>
  <si>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</si>
  <si>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</si>
  <si>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</si>
  <si>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</si>
  <si>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</si>
  <si>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</si>
  <si>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</si>
  <si>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</si>
  <si>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</si>
  <si>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</si>
  <si>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</si>
  <si>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</si>
  <si>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</si>
  <si>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</si>
  <si>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</si>
  <si>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</si>
  <si>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</si>
  <si>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</si>
  <si>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</si>
  <si>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</si>
  <si>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</si>
  <si>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</si>
  <si>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</si>
  <si>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</si>
  <si>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</si>
  <si>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</si>
  <si>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</si>
  <si>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</si>
  <si>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</si>
  <si>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</si>
  <si>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</si>
  <si>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</si>
  <si>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</si>
  <si>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</si>
  <si>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</si>
  <si>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</si>
  <si>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</si>
  <si>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</si>
  <si>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</si>
  <si>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</si>
  <si>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</si>
  <si>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</si>
  <si>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</si>
  <si>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</si>
  <si>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</si>
  <si>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</si>
  <si>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</si>
  <si>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</si>
  <si>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</si>
  <si>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</si>
  <si>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</si>
  <si>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</si>
  <si>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</si>
  <si>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</si>
  <si>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</si>
  <si>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</si>
  <si>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</si>
  <si>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</si>
  <si>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</si>
  <si>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</si>
  <si>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</si>
  <si>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</si>
  <si>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</si>
  <si>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</si>
  <si>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</si>
  <si>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</si>
  <si>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</si>
  <si>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</si>
  <si>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</si>
  <si>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</si>
  <si>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</si>
  <si>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</si>
  <si>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</si>
  <si>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</si>
  <si>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</si>
  <si>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</si>
  <si>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</si>
  <si>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</si>
  <si>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</si>
  <si>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</si>
  <si>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</si>
  <si>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</si>
  <si>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</si>
  <si>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</si>
  <si>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</si>
  <si>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</si>
  <si>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</si>
  <si>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</si>
  <si>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</si>
  <si>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</si>
  <si>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</si>
  <si>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</si>
  <si>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</si>
  <si>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</si>
  <si>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</si>
  <si>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</si>
  <si>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</si>
  <si>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</si>
  <si>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</si>
  <si>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</si>
  <si>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</si>
  <si>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</si>
  <si>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</si>
  <si>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</si>
  <si>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</si>
  <si>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</si>
  <si>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</si>
  <si>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</si>
  <si>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</si>
  <si>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</si>
  <si>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</si>
  <si>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</si>
  <si>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</si>
  <si>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</si>
  <si>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</si>
  <si>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</si>
  <si>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</si>
  <si>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</si>
  <si>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</si>
  <si>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</si>
  <si>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</si>
  <si>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</si>
  <si>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</si>
  <si>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</si>
  <si>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</si>
  <si>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</si>
  <si>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</si>
  <si>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</si>
  <si>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</si>
  <si>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</si>
  <si>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</si>
  <si>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</si>
  <si>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</si>
  <si>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</si>
  <si>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</si>
  <si>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</si>
  <si>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</si>
  <si>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</si>
  <si>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</si>
  <si>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</si>
  <si>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</si>
  <si>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</si>
  <si>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</si>
  <si>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</si>
  <si>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</si>
  <si>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</si>
  <si>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</si>
  <si>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</si>
  <si>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</si>
  <si>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</si>
  <si>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</si>
  <si>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</si>
  <si>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</si>
  <si>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</si>
  <si>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</si>
  <si>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</si>
  <si>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</si>
  <si>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</si>
  <si>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</si>
  <si>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</si>
  <si>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</si>
  <si>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</si>
  <si>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</si>
  <si>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</si>
  <si>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</si>
  <si>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</si>
  <si>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</si>
  <si>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</si>
  <si>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</si>
  <si>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</si>
  <si>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</si>
  <si>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</si>
  <si>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</si>
  <si>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</si>
  <si>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</si>
  <si>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</si>
  <si>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</si>
  <si>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</si>
  <si>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</si>
  <si>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</si>
  <si>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</si>
  <si>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</si>
  <si>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</si>
  <si>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</si>
  <si>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</si>
  <si>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</si>
  <si>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</si>
  <si>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</si>
  <si>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</si>
  <si>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</si>
  <si>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</si>
  <si>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</si>
  <si>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</si>
  <si>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</si>
  <si>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</si>
  <si>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</si>
  <si>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</si>
  <si>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</si>
  <si>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</si>
  <si>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</si>
  <si>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</si>
  <si>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</si>
  <si>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</si>
  <si>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</si>
  <si>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</si>
  <si>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</si>
  <si>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</si>
  <si>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</si>
  <si>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</si>
  <si>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</si>
  <si>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</si>
  <si>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</si>
  <si>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</si>
  <si>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</si>
  <si>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</si>
  <si>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</si>
  <si>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</si>
  <si>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</si>
  <si>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</si>
  <si>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</si>
  <si>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</si>
  <si>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</si>
  <si>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</si>
  <si>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</si>
  <si>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</si>
  <si>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</si>
  <si>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</si>
  <si>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</si>
  <si>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</si>
  <si>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</si>
  <si>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</si>
  <si>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</si>
  <si>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</si>
  <si>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</si>
  <si>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</si>
  <si>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</si>
  <si>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</si>
  <si>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</si>
  <si>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</si>
  <si>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</si>
  <si>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</si>
  <si>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</si>
  <si>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</si>
  <si>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</si>
  <si>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</si>
  <si>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</si>
  <si>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</si>
  <si>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</si>
  <si>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</si>
  <si>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</si>
  <si>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</si>
  <si>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</si>
  <si>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</si>
  <si>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</si>
  <si>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</si>
  <si>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</si>
  <si>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</si>
  <si>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</si>
  <si>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</si>
  <si>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</si>
  <si>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</si>
  <si>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</si>
  <si>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</si>
  <si>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</si>
  <si>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</si>
  <si>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</si>
  <si>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</si>
  <si>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</si>
  <si>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</si>
  <si>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</si>
  <si>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</si>
  <si>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</si>
  <si>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</si>
  <si>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</si>
  <si>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</si>
  <si>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</si>
  <si>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</si>
  <si>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</si>
  <si>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</si>
  <si>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</si>
  <si>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</si>
  <si>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</si>
  <si>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</si>
  <si>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</si>
  <si>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</si>
  <si>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</si>
  <si>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</si>
  <si>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</si>
  <si>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</si>
  <si>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</si>
  <si>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</si>
  <si>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</si>
  <si>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</si>
  <si>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</si>
  <si>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</si>
  <si>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</si>
  <si>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</si>
  <si>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</si>
  <si>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</si>
  <si>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</si>
  <si>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</si>
  <si>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</si>
  <si>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</si>
  <si>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</si>
  <si>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</si>
  <si>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</si>
  <si>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</si>
  <si>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</si>
  <si>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</si>
  <si>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</si>
  <si>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</si>
  <si>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</si>
  <si>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</si>
  <si>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Entrega #5 (Re-especificação)</t>
  </si>
  <si>
    <t>Entrega #4 (Re-especificação)</t>
  </si>
  <si>
    <t>Campo cgarant_bem adicionado à tabela</t>
  </si>
  <si>
    <t>Re-especificação sobre campo ISIN</t>
  </si>
  <si>
    <t>Re-especificação sobre campos de scopes sobre tipo de propriedade</t>
  </si>
  <si>
    <t>Re-especificação com base num novo campo do MBI</t>
  </si>
  <si>
    <t>Re-especificação sobre campos de scopes sobre veiculos</t>
  </si>
  <si>
    <t>Em Teste</t>
  </si>
  <si>
    <t>Validação EF</t>
  </si>
  <si>
    <t>1 campo Em Implementação</t>
  </si>
  <si>
    <t>Pendente de reunião com CdG (categorias SFICS)</t>
  </si>
  <si>
    <t>Pendente de entrega do lado de LT PM</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</si>
  <si>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28/11</t>
    </r>
    <r>
      <rPr>
        <sz val="11"/>
        <rFont val="Santander Text"/>
        <family val="2"/>
      </rPr>
      <t xml:space="preserve">
- Tabela unificada/ traçabilidade de Certificados Gloval: </t>
    </r>
    <r>
      <rPr>
        <b/>
        <sz val="11"/>
        <color theme="7"/>
        <rFont val="Santander Text"/>
        <family val="2"/>
      </rPr>
      <t>28/12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05/12 </t>
    </r>
    <r>
      <rPr>
        <sz val="11"/>
        <rFont val="Santander Text"/>
        <family val="2"/>
      </rPr>
      <t xml:space="preserve">
- Habilitação de reprocessamento via front-end: </t>
    </r>
    <r>
      <rPr>
        <b/>
        <sz val="11"/>
        <color theme="7"/>
        <rFont val="Santander Text"/>
        <family val="2"/>
      </rPr>
      <t>12/12</t>
    </r>
    <r>
      <rPr>
        <sz val="11"/>
        <rFont val="Santander Text"/>
        <family val="2"/>
      </rPr>
      <t xml:space="preserve">
- Re-especificação Tabela de Output de Certificados Energéticos:</t>
    </r>
    <r>
      <rPr>
        <b/>
        <sz val="11"/>
        <color theme="7"/>
        <rFont val="Santander Text"/>
        <family val="2"/>
      </rPr>
      <t>TBD</t>
    </r>
    <r>
      <rPr>
        <sz val="11"/>
        <rFont val="Santander Text"/>
        <family val="2"/>
      </rPr>
      <t xml:space="preserve">
2.</t>
    </r>
    <r>
      <rPr>
        <b/>
        <sz val="11"/>
        <rFont val="Santander Text"/>
        <family val="2"/>
      </rPr>
      <t xml:space="preserve"> Testes:
- Tabela Output de Cerificados Energéticos: </t>
    </r>
    <r>
      <rPr>
        <sz val="11"/>
        <rFont val="Santander Text"/>
        <family val="2"/>
      </rPr>
      <t xml:space="preserve"> Re-especificação enviada para a equipa de Tecnologia contemplando todos os casos
 </t>
    </r>
  </si>
  <si>
    <r>
      <t>Sumário Executivo</t>
    </r>
    <r>
      <rPr>
        <b/>
        <sz val="14"/>
        <color theme="4"/>
        <rFont val="Santander Text"/>
        <family val="2"/>
      </rPr>
      <t xml:space="preserve"> |</t>
    </r>
    <r>
      <rPr>
        <b/>
        <sz val="11"/>
        <color theme="4"/>
        <rFont val="Santander Text"/>
        <family val="2"/>
      </rPr>
      <t>15 de novembro a 22 de novembro</t>
    </r>
  </si>
  <si>
    <t>Em implementação pela equipa de Tecnologia</t>
  </si>
  <si>
    <t>Campos comuns ao GD com incidência</t>
  </si>
  <si>
    <t>Entrega prevista na próxima semana tal como planeado</t>
  </si>
  <si>
    <t>Entrega prevista para 06/12</t>
  </si>
  <si>
    <t>Um</t>
  </si>
  <si>
    <t>1 campo está pendente de outros desenvolvimentos</t>
  </si>
  <si>
    <t>Apenas será possível testar 3 campos. Os restantes estão pendentes de outros desenvolvimentos</t>
  </si>
  <si>
    <t>Data de entrega prevista para 06/12</t>
  </si>
  <si>
    <t>Data de entrega prevista para 13/12</t>
  </si>
  <si>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-&gt;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Foram concluídos 2 campos.
</t>
    </r>
  </si>
  <si>
    <t>1. Durante os testes, foram identificados casos que necessitaram de esclarecimento. Já foi partilhado com a equipa de tecnologia a especificação para resolução dos casos.
2. Realizados os testes à tabela de veículos do MV: 2 campos concluídos e 4 em correção
3. Realizados os testes aos campos comuns ao GD e a 7 campos da protection.</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</si>
  <si>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Não foi possível realizar os testes devido a erros de processamento e erro no universo da Loan Tape (sem garantias móveis) (7 campos)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</si>
</sst>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45">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8"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8" fillId="7" borderId="0" xfId="0" applyFont="1" applyFill="1"/>
    <xf numFmtId="0" fontId="58"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8"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0" fillId="0" borderId="25" xfId="0" applyFont="1" applyBorder="1" applyAlignment="1">
      <alignment horizontal="left" vertical="center" readingOrder="1"/>
    </xf>
    <xf numFmtId="14" fontId="29" fillId="20" borderId="32" xfId="0" applyNumberFormat="1" applyFont="1" applyFill="1" applyBorder="1"/>
    <xf numFmtId="0" fontId="0" fillId="7" borderId="14" xfId="0" applyFill="1" applyBorder="1"/>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9" fontId="28" fillId="0" borderId="32" xfId="1" applyFont="1" applyBorder="1" applyAlignment="1">
      <alignment horizontal="center" vertical="center"/>
    </xf>
    <xf numFmtId="0" fontId="28" fillId="0" borderId="25" xfId="0" applyFont="1" applyBorder="1"/>
    <xf numFmtId="9" fontId="28" fillId="0" borderId="32" xfId="1" applyFont="1" applyFill="1" applyBorder="1" applyAlignment="1">
      <alignment horizontal="center" vertical="center"/>
    </xf>
    <xf numFmtId="0" fontId="61" fillId="0" borderId="0" xfId="0" applyFont="1"/>
    <xf numFmtId="9" fontId="29" fillId="0" borderId="32" xfId="1" applyFont="1" applyBorder="1" applyAlignment="1">
      <alignment horizontal="left" vertical="center"/>
    </xf>
    <xf numFmtId="0" fontId="43" fillId="0" borderId="0" xfId="0" applyFont="1"/>
    <xf numFmtId="0" fontId="2" fillId="3" borderId="4" xfId="0" applyFont="1" applyFill="1" applyBorder="1" applyAlignment="1">
      <alignment vertical="center"/>
    </xf>
    <xf numFmtId="0" fontId="0" fillId="0" borderId="0" xfId="0" applyNumberFormat="1"/>
    <xf numFmtId="0" fontId="62" fillId="0" borderId="0" xfId="0" applyFont="1"/>
    <xf numFmtId="0" fontId="63" fillId="0" borderId="0" xfId="0" applyFont="1"/>
    <xf numFmtId="0" fontId="0" fillId="25" borderId="14" xfId="0" applyFill="1" applyBorder="1"/>
    <xf numFmtId="0" fontId="0" fillId="3" borderId="14" xfId="0" applyFill="1" applyBorder="1"/>
    <xf numFmtId="0" fontId="0" fillId="0" borderId="14" xfId="0" applyFill="1" applyBorder="1"/>
    <xf numFmtId="14" fontId="28" fillId="0" borderId="32" xfId="0" applyNumberFormat="1" applyFont="1" applyBorder="1" applyAlignment="1">
      <alignment horizontal="right"/>
    </xf>
    <xf numFmtId="14" fontId="29" fillId="5" borderId="32" xfId="0" applyNumberFormat="1" applyFont="1" applyFill="1" applyBorder="1" applyAlignment="1">
      <alignment horizontal="right"/>
    </xf>
    <xf numFmtId="14" fontId="38" fillId="5" borderId="32" xfId="0" applyNumberFormat="1" applyFont="1" applyFill="1" applyBorder="1" applyAlignment="1">
      <alignment horizontal="right"/>
    </xf>
    <xf numFmtId="14" fontId="60" fillId="0" borderId="32" xfId="0" applyNumberFormat="1" applyFont="1" applyBorder="1" applyAlignment="1">
      <alignment horizontal="right"/>
    </xf>
    <xf numFmtId="14" fontId="29" fillId="0" borderId="32" xfId="0" applyNumberFormat="1" applyFont="1" applyBorder="1" applyAlignment="1">
      <alignment horizontal="right"/>
    </xf>
    <xf numFmtId="14" fontId="29" fillId="0" borderId="25" xfId="0" applyNumberFormat="1" applyFont="1" applyFill="1" applyBorder="1"/>
    <xf numFmtId="0" fontId="10" fillId="7" borderId="14" xfId="0" applyFont="1" applyFill="1" applyBorder="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0" borderId="0" xfId="0" applyFont="1" applyBorder="1"/>
    <xf numFmtId="0" fontId="47" fillId="14" borderId="25" xfId="0" applyFont="1" applyFill="1" applyBorder="1" applyAlignment="1">
      <alignment horizontal="left" vertical="top" wrapText="1"/>
    </xf>
    <xf numFmtId="0" fontId="2" fillId="14" borderId="25" xfId="0" applyFont="1" applyFill="1" applyBorder="1" applyAlignment="1">
      <alignment horizontal="left" vertical="top" wrapText="1"/>
    </xf>
    <xf numFmtId="14" fontId="28" fillId="0" borderId="32" xfId="0" applyNumberFormat="1" applyFont="1" applyFill="1" applyBorder="1"/>
    <xf numFmtId="14" fontId="66" fillId="0" borderId="25" xfId="0" applyNumberFormat="1" applyFont="1" applyBorder="1"/>
    <xf numFmtId="14" fontId="67" fillId="0" borderId="25" xfId="0" applyNumberFormat="1" applyFont="1" applyBorder="1"/>
    <xf numFmtId="0" fontId="60" fillId="0" borderId="25" xfId="0" applyFont="1" applyFill="1" applyBorder="1" applyAlignment="1">
      <alignment horizontal="left" vertical="center" readingOrder="1"/>
    </xf>
    <xf numFmtId="0" fontId="28" fillId="0" borderId="25" xfId="0" applyFont="1" applyFill="1" applyBorder="1" applyAlignment="1">
      <alignment horizontal="lef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14" fontId="29" fillId="3" borderId="25" xfId="0" applyNumberFormat="1" applyFont="1" applyFill="1" applyBorder="1"/>
    <xf numFmtId="14" fontId="28" fillId="5" borderId="25" xfId="0" applyNumberFormat="1" applyFont="1" applyFill="1" applyBorder="1"/>
    <xf numFmtId="14" fontId="28" fillId="3" borderId="32" xfId="0" applyNumberFormat="1" applyFont="1" applyFill="1" applyBorder="1"/>
    <xf numFmtId="14" fontId="29" fillId="3" borderId="32" xfId="0" applyNumberFormat="1" applyFont="1" applyFill="1" applyBorder="1"/>
    <xf numFmtId="0" fontId="29" fillId="3" borderId="25" xfId="0" applyFont="1" applyFill="1" applyBorder="1"/>
    <xf numFmtId="9" fontId="29" fillId="20" borderId="32" xfId="1" applyFont="1" applyFill="1" applyBorder="1" applyAlignment="1">
      <alignment horizontal="center" vertical="center"/>
    </xf>
    <xf numFmtId="9" fontId="29" fillId="3" borderId="32" xfId="1" applyFont="1" applyFill="1" applyBorder="1" applyAlignment="1">
      <alignment horizontal="center" vertical="center"/>
    </xf>
    <xf numFmtId="0" fontId="58" fillId="3" borderId="0" xfId="0" applyFont="1" applyFill="1"/>
  </cellXfs>
  <cellStyles count="4">
    <cellStyle name="Normal" xfId="0" builtinId="0"/>
    <cellStyle name="Normal 2" xfId="3"/>
    <cellStyle name="Normal 3" xfId="2"/>
    <cellStyle name="Percent" xfId="1" builtinId="5"/>
  </cellStyles>
  <dxfs count="253">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10</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1</c:v>
                </c:pt>
                <c:pt idx="3">
                  <c:v>20</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10</c:v>
                </c:pt>
                <c:pt idx="4">
                  <c:v>4</c:v>
                </c:pt>
              </c:numCache>
            </c:numRef>
          </c:val>
          <c:extLst>
            <c:ext xmlns:c16="http://schemas.microsoft.com/office/drawing/2014/chart" uri="{C3380CC4-5D6E-409C-BE32-E72D297353CC}">
              <c16:uniqueId val="{00000004-4F87-4228-80AD-9D224B25AC8A}"/>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179</c:v>
                </c:pt>
                <c:pt idx="2">
                  <c:v>21</c:v>
                </c:pt>
                <c:pt idx="3">
                  <c:v>1</c:v>
                </c:pt>
                <c:pt idx="4">
                  <c:v>4</c:v>
                </c:pt>
                <c:pt idx="5">
                  <c:v>26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5</c:v>
                </c:pt>
                <c:pt idx="1">
                  <c:v>25</c:v>
                </c:pt>
                <c:pt idx="2">
                  <c:v>13</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1</c:v>
                </c:pt>
                <c:pt idx="1">
                  <c:v>1</c:v>
                </c:pt>
                <c:pt idx="2">
                  <c:v>6</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12</c:v>
                </c:pt>
                <c:pt idx="2">
                  <c:v>8</c:v>
                </c:pt>
                <c:pt idx="3">
                  <c:v>58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124</xdr:row>
      <xdr:rowOff>60414</xdr:rowOff>
    </xdr:from>
    <xdr:to>
      <xdr:col>14</xdr:col>
      <xdr:colOff>621111</xdr:colOff>
      <xdr:row>124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57538</xdr:rowOff>
    </xdr:from>
    <xdr:to>
      <xdr:col>14</xdr:col>
      <xdr:colOff>621111</xdr:colOff>
      <xdr:row>125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126</xdr:row>
      <xdr:rowOff>56118</xdr:rowOff>
    </xdr:from>
    <xdr:to>
      <xdr:col>14</xdr:col>
      <xdr:colOff>621111</xdr:colOff>
      <xdr:row>126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127</xdr:row>
      <xdr:rowOff>60189</xdr:rowOff>
    </xdr:from>
    <xdr:to>
      <xdr:col>14</xdr:col>
      <xdr:colOff>632959</xdr:colOff>
      <xdr:row>127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128</xdr:row>
      <xdr:rowOff>74234</xdr:rowOff>
    </xdr:from>
    <xdr:to>
      <xdr:col>14</xdr:col>
      <xdr:colOff>621111</xdr:colOff>
      <xdr:row>128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129</xdr:row>
      <xdr:rowOff>74943</xdr:rowOff>
    </xdr:from>
    <xdr:to>
      <xdr:col>14</xdr:col>
      <xdr:colOff>621111</xdr:colOff>
      <xdr:row>129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131</xdr:row>
      <xdr:rowOff>56346</xdr:rowOff>
    </xdr:from>
    <xdr:to>
      <xdr:col>14</xdr:col>
      <xdr:colOff>621111</xdr:colOff>
      <xdr:row>131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130</xdr:row>
      <xdr:rowOff>92090</xdr:rowOff>
    </xdr:from>
    <xdr:to>
      <xdr:col>14</xdr:col>
      <xdr:colOff>621111</xdr:colOff>
      <xdr:row>130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126</xdr:row>
      <xdr:rowOff>130394</xdr:rowOff>
    </xdr:from>
    <xdr:to>
      <xdr:col>14</xdr:col>
      <xdr:colOff>369793</xdr:colOff>
      <xdr:row>129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122</xdr:row>
      <xdr:rowOff>78081</xdr:rowOff>
    </xdr:from>
    <xdr:to>
      <xdr:col>6</xdr:col>
      <xdr:colOff>327030</xdr:colOff>
      <xdr:row>134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43</xdr:col>
      <xdr:colOff>228600</xdr:colOff>
      <xdr:row>12</xdr:row>
      <xdr:rowOff>19050</xdr:rowOff>
    </xdr:from>
    <xdr:to>
      <xdr:col>43</xdr:col>
      <xdr:colOff>228600</xdr:colOff>
      <xdr:row>239</xdr:row>
      <xdr:rowOff>28577</xdr:rowOff>
    </xdr:to>
    <xdr:cxnSp macro="">
      <xdr:nvCxnSpPr>
        <xdr:cNvPr id="5" name="Straight Arrow Connector 4"/>
        <xdr:cNvCxnSpPr/>
      </xdr:nvCxnSpPr>
      <xdr:spPr>
        <a:xfrm flipV="1">
          <a:off x="38061900" y="1295400"/>
          <a:ext cx="0" cy="711517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1.01385069444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1.01386203703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1.01386412037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1.01386631944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1.01386863426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1.0138704861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1.01387256944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23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2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2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2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2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2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252" tableBorderDxfId="251">
  <autoFilter ref="B6:N574">
    <filterColumn colId="1">
      <filters>
        <filter val="Pilar III"/>
      </filters>
    </filterColumn>
  </autoFilter>
  <tableColumns count="13">
    <tableColumn id="1" name="Âmbito" dataDxfId="250"/>
    <tableColumn id="2" name="Sub-âmbito" dataDxfId="249"/>
    <tableColumn id="3" name="Tipo de teste" dataDxfId="248"/>
    <tableColumn id="4" name="Tabela" dataDxfId="247"/>
    <tableColumn id="5" name="Campo" dataDxfId="246"/>
    <tableColumn id="6" name="Status Atual" dataDxfId="245"/>
    <tableColumn id="7" name="Status Anterior" dataDxfId="244"/>
    <tableColumn id="8" name="Observações" dataDxfId="243"/>
    <tableColumn id="9" name="Data de Pedido correção/esclarecimento" dataDxfId="242">
      <calculatedColumnFormula>IF(VLOOKUP(A7,'Aux - pivots1'!$A:$E,3,0)=0, "",VLOOKUP(A7,'Aux - pivots1'!$A:$E,3,0))</calculatedColumnFormula>
    </tableColumn>
    <tableColumn id="10" name="Data de correção prevista" dataDxfId="241">
      <calculatedColumnFormula>IF(VLOOKUP(A7,'Aux - pivots1'!$A:$E,4,0)=0, "",VLOOKUP(A7,'Aux - pivots1'!$A:$E,4,0))</calculatedColumnFormula>
    </tableColumn>
    <tableColumn id="11" name="Data de correção efetiva" dataDxfId="240">
      <calculatedColumnFormula>IF(VLOOKUP(A7,'Aux - pivots1'!$A:$E,5,0)=0, "",VLOOKUP(A7,'Aux - pivots1'!$A:$E,5,0))</calculatedColumnFormula>
    </tableColumn>
    <tableColumn id="12" name="Data Prevista de Re-especificação" dataDxfId="239"/>
    <tableColumn id="13" name="Data Prevista de Teste" dataDxfId="238"/>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37" dataDxfId="235" totalsRowDxfId="233" headerRowBorderDxfId="236" tableBorderDxfId="234" totalsRowBorderDxfId="232">
  <autoFilter ref="B8:X1320">
    <filterColumn colId="1">
      <filters>
        <filter val="Modelo Verde - Output"/>
      </filters>
    </filterColumn>
    <filterColumn colId="4">
      <filters>
        <filter val="modesg_out_emss_vcls"/>
      </filters>
    </filterColumn>
    <filterColumn colId="7">
      <filters>
        <filter val="2.1 Em Teste"/>
      </filters>
    </filterColumn>
  </autoFilter>
  <tableColumns count="23">
    <tableColumn id="1" name="Âmbito" dataDxfId="231" totalsRowDxfId="230"/>
    <tableColumn id="12" name="Sub-âmbito" dataDxfId="229" totalsRowDxfId="228"/>
    <tableColumn id="2" name="Origem" dataDxfId="227" totalsRowDxfId="226"/>
    <tableColumn id="18" name="Campo Origem" dataDxfId="225" totalsRowDxfId="224"/>
    <tableColumn id="5" name="Tabela" dataDxfId="223" totalsRowDxfId="222"/>
    <tableColumn id="3" name="Campo" dataDxfId="221" totalsRowDxfId="220"/>
    <tableColumn id="20" name="concat" dataDxfId="219" totalsRowDxfId="218">
      <calculatedColumnFormula>Table1[[#This Row],[Tabela]]&amp;Table1[[#This Row],[Campo]]</calculatedColumnFormula>
    </tableColumn>
    <tableColumn id="4" name="Status" dataDxfId="217" totalsRowDxfId="216"/>
    <tableColumn id="19" name="Status2" dataDxfId="215">
      <calculatedColumnFormula>VLOOKUP(Table1[[#This Row],[Status]],Auxiliar!$B$16:$C$24,2,0)</calculatedColumnFormula>
    </tableColumn>
    <tableColumn id="6" name="Tipologia_Testes" dataDxfId="214" totalsRowDxfId="213"/>
    <tableColumn id="10" name="Necessidade de re-especificação? (campo)" dataDxfId="212" totalsRowDxfId="211"/>
    <tableColumn id="9" name="Complexidade" dataDxfId="210" totalsRowDxfId="209"/>
    <tableColumn id="17" name="Data de Alteração Status" dataDxfId="208" totalsRowDxfId="207"/>
    <tableColumn id="8" name="Estimação (horas)" totalsRowFunction="custom" dataDxfId="206" totalsRowDxfId="205">
      <calculatedColumnFormula>INDEX(Auxiliar!$D$5:$F$11,MATCH(Table1[[#This Row],[Tipologia_Testes]],Auxiliar!$B$5:$B$11,0),MATCH(Table1[[#This Row],[Complexidade]],Auxiliar!$D$4:$F$4,0))</calculatedColumnFormula>
      <totalsRowFormula>SUMIF(Table1[Estimação (horas)],"&gt;0")</totalsRowFormula>
    </tableColumn>
    <tableColumn id="7" name="Notas" dataDxfId="204" totalsRowDxfId="203"/>
    <tableColumn id="11" name="Owner" dataDxfId="202" totalsRowDxfId="201"/>
    <tableColumn id="21" name="Data alteração especificação" dataDxfId="200" totalsRowDxfId="199"/>
    <tableColumn id="13" name="Data de inicio testes" dataDxfId="198" totalsRowDxfId="197"/>
    <tableColumn id="14" name="Data de incidência / pedido esclarecimento" dataDxfId="196" totalsRowDxfId="195"/>
    <tableColumn id="15" name="Data de correção/resposta prevista" dataDxfId="194" totalsRowDxfId="193"/>
    <tableColumn id="22" name="Data de correção/resposta efetiva" dataDxfId="192" totalsRowDxfId="191"/>
    <tableColumn id="23" name="Horas efetivas" dataDxfId="190" totalsRowDxfId="189">
      <calculatedColumnFormula>VLOOKUP(Table1[[#This Row],[Status]],Auxiliar!$B$16:$D$24,3,0)*Table1[[#This Row],[Estimação (horas)]]</calculatedColumnFormula>
    </tableColumn>
    <tableColumn id="16" name="Query" dataDxfId="188" totalsRowDxfId="18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86" priority="11" operator="notEqual">
      <formula>0</formula>
    </cfRule>
  </conditionalFormatting>
  <conditionalFormatting sqref="L21:L23">
    <cfRule type="cellIs" dxfId="185" priority="3" operator="notEqual">
      <formula>0</formula>
    </cfRule>
  </conditionalFormatting>
  <conditionalFormatting sqref="L577:L579">
    <cfRule type="cellIs" dxfId="184" priority="2" operator="notEqual">
      <formula>0</formula>
    </cfRule>
  </conditionalFormatting>
  <conditionalFormatting sqref="L582:L636">
    <cfRule type="cellIs" dxfId="183" priority="1" operator="notEqual">
      <formula>0</formula>
    </cfRule>
  </conditionalFormatting>
  <conditionalFormatting sqref="M5:M6 N6:FK6">
    <cfRule type="cellIs" dxfId="182" priority="12" operator="notEqual">
      <formula>0</formula>
    </cfRule>
  </conditionalFormatting>
  <conditionalFormatting sqref="M15:FK18 M21:FK23 M577:FK579 M636:FK636">
    <cfRule type="cellIs" dxfId="181" priority="10" operator="greaterThan">
      <formula>0</formula>
    </cfRule>
  </conditionalFormatting>
  <conditionalFormatting sqref="M26:FK27">
    <cfRule type="cellIs" dxfId="180" priority="9" operator="greaterThan">
      <formula>0</formula>
    </cfRule>
  </conditionalFormatting>
  <conditionalFormatting sqref="M42:FK42">
    <cfRule type="cellIs" dxfId="179" priority="8" operator="greaterThan">
      <formula>0</formula>
    </cfRule>
  </conditionalFormatting>
  <conditionalFormatting sqref="M198:FK198">
    <cfRule type="cellIs" dxfId="178" priority="7" operator="greaterThan">
      <formula>0</formula>
    </cfRule>
  </conditionalFormatting>
  <conditionalFormatting sqref="M362:FK362">
    <cfRule type="cellIs" dxfId="177" priority="6" operator="greaterThan">
      <formula>0</formula>
    </cfRule>
  </conditionalFormatting>
  <conditionalFormatting sqref="M447:FK447">
    <cfRule type="cellIs" dxfId="176" priority="5" operator="greaterThan">
      <formula>0</formula>
    </cfRule>
  </conditionalFormatting>
  <conditionalFormatting sqref="M582:FK583">
    <cfRule type="cellIs" dxfId="17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zoomScale="70" zoomScaleNormal="70" workbookViewId="0">
      <selection activeCell="X118" sqref="X118"/>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2027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00" t="s">
        <v>2038</v>
      </c>
      <c r="C8" s="301"/>
      <c r="D8" s="301"/>
      <c r="E8" s="301"/>
      <c r="F8" s="301"/>
      <c r="G8" s="301"/>
      <c r="H8" s="301"/>
      <c r="I8" s="301"/>
      <c r="J8" s="301"/>
      <c r="K8" s="301"/>
      <c r="L8" s="301"/>
      <c r="M8" s="301"/>
      <c r="N8" s="301"/>
      <c r="O8" s="301"/>
      <c r="P8" s="301"/>
      <c r="Q8" s="301"/>
      <c r="R8" s="301"/>
      <c r="S8" s="301"/>
      <c r="T8" s="301"/>
      <c r="U8" s="301"/>
      <c r="V8" s="301"/>
      <c r="W8" s="301"/>
      <c r="X8" s="301"/>
      <c r="Y8" s="301"/>
      <c r="Z8" s="301"/>
      <c r="AA8" s="301"/>
      <c r="AB8" s="301"/>
      <c r="AC8" s="301"/>
      <c r="AD8" s="301"/>
      <c r="AE8" s="301"/>
      <c r="AF8" s="301"/>
      <c r="AG8" s="302"/>
      <c r="AH8" s="117"/>
    </row>
    <row r="9" spans="1:34" ht="17.7" customHeight="1">
      <c r="A9" s="117"/>
      <c r="B9" s="303"/>
      <c r="C9" s="304"/>
      <c r="D9" s="304"/>
      <c r="E9" s="304"/>
      <c r="F9" s="304"/>
      <c r="G9" s="304"/>
      <c r="H9" s="304"/>
      <c r="I9" s="304"/>
      <c r="J9" s="304"/>
      <c r="K9" s="304"/>
      <c r="L9" s="304"/>
      <c r="M9" s="304"/>
      <c r="N9" s="304"/>
      <c r="O9" s="304"/>
      <c r="P9" s="304"/>
      <c r="Q9" s="304"/>
      <c r="R9" s="304"/>
      <c r="S9" s="304"/>
      <c r="T9" s="304"/>
      <c r="U9" s="304"/>
      <c r="V9" s="304"/>
      <c r="W9" s="304"/>
      <c r="X9" s="304"/>
      <c r="Y9" s="304"/>
      <c r="Z9" s="304"/>
      <c r="AA9" s="304"/>
      <c r="AB9" s="304"/>
      <c r="AC9" s="304"/>
      <c r="AD9" s="304"/>
      <c r="AE9" s="304"/>
      <c r="AF9" s="304"/>
      <c r="AG9" s="305"/>
      <c r="AH9" s="117"/>
    </row>
    <row r="10" spans="1:34" ht="17.7" customHeight="1">
      <c r="A10" s="117"/>
      <c r="B10" s="303"/>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c r="AA10" s="304"/>
      <c r="AB10" s="304"/>
      <c r="AC10" s="304"/>
      <c r="AD10" s="304"/>
      <c r="AE10" s="304"/>
      <c r="AF10" s="304"/>
      <c r="AG10" s="305"/>
      <c r="AH10" s="117"/>
    </row>
    <row r="11" spans="1:34" ht="17.7" customHeight="1">
      <c r="A11" s="117"/>
      <c r="B11" s="303"/>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5"/>
      <c r="AH11" s="117"/>
    </row>
    <row r="12" spans="1:34" ht="17.7" customHeight="1">
      <c r="A12" s="117"/>
      <c r="B12" s="303"/>
      <c r="C12" s="304"/>
      <c r="D12" s="304"/>
      <c r="E12" s="304"/>
      <c r="F12" s="304"/>
      <c r="G12" s="304"/>
      <c r="H12" s="304"/>
      <c r="I12" s="304"/>
      <c r="J12" s="304"/>
      <c r="K12" s="304"/>
      <c r="L12" s="304"/>
      <c r="M12" s="304"/>
      <c r="N12" s="304"/>
      <c r="O12" s="304"/>
      <c r="P12" s="304"/>
      <c r="Q12" s="304"/>
      <c r="R12" s="304"/>
      <c r="S12" s="304"/>
      <c r="T12" s="304"/>
      <c r="U12" s="304"/>
      <c r="V12" s="304"/>
      <c r="W12" s="304"/>
      <c r="X12" s="304"/>
      <c r="Y12" s="304"/>
      <c r="Z12" s="304"/>
      <c r="AA12" s="304"/>
      <c r="AB12" s="304"/>
      <c r="AC12" s="304"/>
      <c r="AD12" s="304"/>
      <c r="AE12" s="304"/>
      <c r="AF12" s="304"/>
      <c r="AG12" s="305"/>
      <c r="AH12" s="117"/>
    </row>
    <row r="13" spans="1:34" ht="17.7" customHeight="1">
      <c r="A13" s="117"/>
      <c r="B13" s="303"/>
      <c r="C13" s="304"/>
      <c r="D13" s="304"/>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304"/>
      <c r="AF13" s="304"/>
      <c r="AG13" s="305"/>
      <c r="AH13" s="117"/>
    </row>
    <row r="14" spans="1:34" ht="17.7" customHeight="1">
      <c r="A14" s="117"/>
      <c r="B14" s="303"/>
      <c r="C14" s="304"/>
      <c r="D14" s="304"/>
      <c r="E14" s="304"/>
      <c r="F14" s="304"/>
      <c r="G14" s="304"/>
      <c r="H14" s="304"/>
      <c r="I14" s="304"/>
      <c r="J14" s="304"/>
      <c r="K14" s="304"/>
      <c r="L14" s="304"/>
      <c r="M14" s="304"/>
      <c r="N14" s="304"/>
      <c r="O14" s="304"/>
      <c r="P14" s="304"/>
      <c r="Q14" s="304"/>
      <c r="R14" s="304"/>
      <c r="S14" s="304"/>
      <c r="T14" s="304"/>
      <c r="U14" s="304"/>
      <c r="V14" s="304"/>
      <c r="W14" s="304"/>
      <c r="X14" s="304"/>
      <c r="Y14" s="304"/>
      <c r="Z14" s="304"/>
      <c r="AA14" s="304"/>
      <c r="AB14" s="304"/>
      <c r="AC14" s="304"/>
      <c r="AD14" s="304"/>
      <c r="AE14" s="304"/>
      <c r="AF14" s="304"/>
      <c r="AG14" s="305"/>
      <c r="AH14" s="117"/>
    </row>
    <row r="15" spans="1:34" ht="17.7" customHeight="1">
      <c r="A15" s="117"/>
      <c r="B15" s="303"/>
      <c r="C15" s="304"/>
      <c r="D15" s="304"/>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c r="AF15" s="304"/>
      <c r="AG15" s="305"/>
      <c r="AH15" s="117"/>
    </row>
    <row r="16" spans="1:34" ht="17.7" customHeight="1">
      <c r="A16" s="117"/>
      <c r="B16" s="303"/>
      <c r="C16" s="304"/>
      <c r="D16" s="304"/>
      <c r="E16" s="304"/>
      <c r="F16" s="304"/>
      <c r="G16" s="304"/>
      <c r="H16" s="304"/>
      <c r="I16" s="304"/>
      <c r="J16" s="304"/>
      <c r="K16" s="304"/>
      <c r="L16" s="304"/>
      <c r="M16" s="304"/>
      <c r="N16" s="304"/>
      <c r="O16" s="304"/>
      <c r="P16" s="304"/>
      <c r="Q16" s="304"/>
      <c r="R16" s="304"/>
      <c r="S16" s="304"/>
      <c r="T16" s="304"/>
      <c r="U16" s="304"/>
      <c r="V16" s="304"/>
      <c r="W16" s="304"/>
      <c r="X16" s="304"/>
      <c r="Y16" s="304"/>
      <c r="Z16" s="304"/>
      <c r="AA16" s="304"/>
      <c r="AB16" s="304"/>
      <c r="AC16" s="304"/>
      <c r="AD16" s="304"/>
      <c r="AE16" s="304"/>
      <c r="AF16" s="304"/>
      <c r="AG16" s="305"/>
      <c r="AH16" s="117"/>
    </row>
    <row r="17" spans="1:34" ht="17.7" customHeight="1">
      <c r="A17" s="117"/>
      <c r="B17" s="303"/>
      <c r="C17" s="304"/>
      <c r="D17" s="304"/>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305"/>
      <c r="AH17" s="117"/>
    </row>
    <row r="18" spans="1:34" ht="17.7" customHeight="1">
      <c r="A18" s="117"/>
      <c r="B18" s="303"/>
      <c r="C18" s="304"/>
      <c r="D18" s="304"/>
      <c r="E18" s="304"/>
      <c r="F18" s="304"/>
      <c r="G18" s="304"/>
      <c r="H18" s="304"/>
      <c r="I18" s="304"/>
      <c r="J18" s="304"/>
      <c r="K18" s="304"/>
      <c r="L18" s="304"/>
      <c r="M18" s="304"/>
      <c r="N18" s="304"/>
      <c r="O18" s="304"/>
      <c r="P18" s="304"/>
      <c r="Q18" s="304"/>
      <c r="R18" s="304"/>
      <c r="S18" s="304"/>
      <c r="T18" s="304"/>
      <c r="U18" s="304"/>
      <c r="V18" s="304"/>
      <c r="W18" s="304"/>
      <c r="X18" s="304"/>
      <c r="Y18" s="304"/>
      <c r="Z18" s="304"/>
      <c r="AA18" s="304"/>
      <c r="AB18" s="304"/>
      <c r="AC18" s="304"/>
      <c r="AD18" s="304"/>
      <c r="AE18" s="304"/>
      <c r="AF18" s="304"/>
      <c r="AG18" s="305"/>
      <c r="AH18" s="117"/>
    </row>
    <row r="19" spans="1:34" ht="17.7" customHeight="1">
      <c r="A19" s="117"/>
      <c r="B19" s="306"/>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8"/>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45611</v>
      </c>
      <c r="U25" s="132">
        <f>T25+7</f>
        <v>45618</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8" t="s">
        <v>2026</v>
      </c>
      <c r="Y26" s="319"/>
      <c r="Z26" s="319"/>
      <c r="AA26" s="319"/>
      <c r="AB26" s="319"/>
      <c r="AC26" s="319"/>
      <c r="AD26" s="319"/>
      <c r="AE26" s="319"/>
      <c r="AF26" s="320"/>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21"/>
      <c r="Y27" s="322"/>
      <c r="Z27" s="322"/>
      <c r="AA27" s="322"/>
      <c r="AB27" s="322"/>
      <c r="AC27" s="322"/>
      <c r="AD27" s="322"/>
      <c r="AE27" s="322"/>
      <c r="AF27" s="323"/>
      <c r="AG27" s="164"/>
      <c r="AH27" s="117"/>
    </row>
    <row r="28" spans="1:34">
      <c r="A28" s="117"/>
      <c r="B28" s="122"/>
      <c r="P28" s="26" t="s">
        <v>1927</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321"/>
      <c r="Y28" s="322"/>
      <c r="Z28" s="322"/>
      <c r="AA28" s="322"/>
      <c r="AB28" s="322"/>
      <c r="AC28" s="322"/>
      <c r="AD28" s="322"/>
      <c r="AE28" s="322"/>
      <c r="AF28" s="323"/>
      <c r="AG28" s="164"/>
      <c r="AH28" s="117"/>
    </row>
    <row r="29" spans="1:34">
      <c r="A29" s="117"/>
      <c r="B29" s="122"/>
      <c r="D29" s="299" t="str">
        <f>"# "&amp;U35</f>
        <v># 169</v>
      </c>
      <c r="E29" s="299"/>
      <c r="P29" s="26" t="s">
        <v>1928</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21"/>
      <c r="Y29" s="322"/>
      <c r="Z29" s="322"/>
      <c r="AA29" s="322"/>
      <c r="AB29" s="322"/>
      <c r="AC29" s="322"/>
      <c r="AD29" s="322"/>
      <c r="AE29" s="322"/>
      <c r="AF29" s="323"/>
      <c r="AG29" s="164"/>
      <c r="AH29" s="117"/>
    </row>
    <row r="30" spans="1:34" ht="17.7" customHeight="1">
      <c r="A30" s="117"/>
      <c r="B30" s="122"/>
      <c r="D30" s="299"/>
      <c r="E30" s="299"/>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21"/>
      <c r="Y30" s="322"/>
      <c r="Z30" s="322"/>
      <c r="AA30" s="322"/>
      <c r="AB30" s="322"/>
      <c r="AC30" s="322"/>
      <c r="AD30" s="322"/>
      <c r="AE30" s="322"/>
      <c r="AF30" s="323"/>
      <c r="AG30" s="164"/>
      <c r="AH30" s="117"/>
    </row>
    <row r="31" spans="1:34" ht="17.7" customHeight="1">
      <c r="A31" s="117"/>
      <c r="B31" s="122"/>
      <c r="D31" s="299"/>
      <c r="E31" s="299"/>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321"/>
      <c r="Y31" s="322"/>
      <c r="Z31" s="322"/>
      <c r="AA31" s="322"/>
      <c r="AB31" s="322"/>
      <c r="AC31" s="322"/>
      <c r="AD31" s="322"/>
      <c r="AE31" s="322"/>
      <c r="AF31" s="323"/>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21"/>
      <c r="Y32" s="322"/>
      <c r="Z32" s="322"/>
      <c r="AA32" s="322"/>
      <c r="AB32" s="322"/>
      <c r="AC32" s="322"/>
      <c r="AD32" s="322"/>
      <c r="AE32" s="322"/>
      <c r="AF32" s="323"/>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35</v>
      </c>
      <c r="V33" s="26">
        <f t="shared" si="0"/>
        <v>22</v>
      </c>
      <c r="X33" s="321"/>
      <c r="Y33" s="322"/>
      <c r="Z33" s="322"/>
      <c r="AA33" s="322"/>
      <c r="AB33" s="322"/>
      <c r="AC33" s="322"/>
      <c r="AD33" s="322"/>
      <c r="AE33" s="322"/>
      <c r="AF33" s="323"/>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21"/>
      <c r="Y34" s="322"/>
      <c r="Z34" s="322"/>
      <c r="AA34" s="322"/>
      <c r="AB34" s="322"/>
      <c r="AC34" s="322"/>
      <c r="AD34" s="322"/>
      <c r="AE34" s="322"/>
      <c r="AF34" s="323"/>
      <c r="AG34" s="164"/>
      <c r="AH34" s="117"/>
    </row>
    <row r="35" spans="1:34">
      <c r="A35" s="117"/>
      <c r="B35" s="122"/>
      <c r="T35" s="128">
        <f>SUM(T26:T34)</f>
        <v>169</v>
      </c>
      <c r="U35" s="128">
        <f>SUM(U26:U34)</f>
        <v>169</v>
      </c>
      <c r="X35" s="321"/>
      <c r="Y35" s="322"/>
      <c r="Z35" s="322"/>
      <c r="AA35" s="322"/>
      <c r="AB35" s="322"/>
      <c r="AC35" s="322"/>
      <c r="AD35" s="322"/>
      <c r="AE35" s="322"/>
      <c r="AF35" s="323"/>
      <c r="AG35" s="164"/>
      <c r="AH35" s="117"/>
    </row>
    <row r="36" spans="1:34">
      <c r="A36" s="117"/>
      <c r="B36" s="122"/>
      <c r="G36" s="130" t="s">
        <v>620</v>
      </c>
      <c r="H36" s="131"/>
      <c r="I36" s="131"/>
      <c r="J36" s="131"/>
      <c r="K36" s="131"/>
      <c r="L36" s="131"/>
      <c r="M36" s="131"/>
      <c r="P36" s="130" t="s">
        <v>621</v>
      </c>
      <c r="Q36" s="131"/>
      <c r="R36" s="131"/>
      <c r="S36" s="131"/>
      <c r="T36" s="131"/>
      <c r="U36" s="131"/>
      <c r="V36" s="131"/>
      <c r="X36" s="321"/>
      <c r="Y36" s="322"/>
      <c r="Z36" s="322"/>
      <c r="AA36" s="322"/>
      <c r="AB36" s="322"/>
      <c r="AC36" s="322"/>
      <c r="AD36" s="322"/>
      <c r="AE36" s="322"/>
      <c r="AF36" s="323"/>
      <c r="AG36" s="164"/>
      <c r="AH36" s="117"/>
    </row>
    <row r="37" spans="1:34">
      <c r="A37" s="117"/>
      <c r="B37" s="122"/>
      <c r="F37" s="160" t="s">
        <v>622</v>
      </c>
      <c r="G37" s="26" t="s">
        <v>623</v>
      </c>
      <c r="L37" s="166" t="s">
        <v>2023</v>
      </c>
      <c r="O37" s="160" t="s">
        <v>622</v>
      </c>
      <c r="P37" s="26" t="s">
        <v>625</v>
      </c>
      <c r="T37" s="162" t="s">
        <v>624</v>
      </c>
      <c r="X37" s="321"/>
      <c r="Y37" s="322"/>
      <c r="Z37" s="322"/>
      <c r="AA37" s="322"/>
      <c r="AB37" s="322"/>
      <c r="AC37" s="322"/>
      <c r="AD37" s="322"/>
      <c r="AE37" s="322"/>
      <c r="AF37" s="323"/>
      <c r="AG37" s="164"/>
      <c r="AH37" s="117"/>
    </row>
    <row r="38" spans="1:34">
      <c r="A38" s="117"/>
      <c r="B38" s="122"/>
      <c r="F38" s="160" t="s">
        <v>622</v>
      </c>
      <c r="G38" s="26" t="s">
        <v>626</v>
      </c>
      <c r="L38" s="162" t="s">
        <v>624</v>
      </c>
      <c r="O38" s="160" t="s">
        <v>622</v>
      </c>
      <c r="P38" s="26" t="s">
        <v>627</v>
      </c>
      <c r="T38" s="162" t="s">
        <v>624</v>
      </c>
      <c r="X38" s="321"/>
      <c r="Y38" s="322"/>
      <c r="Z38" s="322"/>
      <c r="AA38" s="322"/>
      <c r="AB38" s="322"/>
      <c r="AC38" s="322"/>
      <c r="AD38" s="322"/>
      <c r="AE38" s="322"/>
      <c r="AF38" s="323"/>
      <c r="AG38" s="164"/>
      <c r="AH38" s="117"/>
    </row>
    <row r="39" spans="1:34">
      <c r="A39" s="117"/>
      <c r="B39" s="122"/>
      <c r="F39" s="160" t="s">
        <v>622</v>
      </c>
      <c r="G39" s="26" t="s">
        <v>628</v>
      </c>
      <c r="L39" s="162" t="s">
        <v>624</v>
      </c>
      <c r="O39" s="160" t="s">
        <v>622</v>
      </c>
      <c r="P39" s="26" t="s">
        <v>629</v>
      </c>
      <c r="T39" s="165" t="s">
        <v>630</v>
      </c>
      <c r="X39" s="321"/>
      <c r="Y39" s="322"/>
      <c r="Z39" s="322"/>
      <c r="AA39" s="322"/>
      <c r="AB39" s="322"/>
      <c r="AC39" s="322"/>
      <c r="AD39" s="322"/>
      <c r="AE39" s="322"/>
      <c r="AF39" s="323"/>
      <c r="AG39" s="164"/>
      <c r="AH39" s="117"/>
    </row>
    <row r="40" spans="1:34">
      <c r="A40" s="117"/>
      <c r="B40" s="122"/>
      <c r="F40" s="160" t="s">
        <v>622</v>
      </c>
      <c r="G40" s="26" t="s">
        <v>631</v>
      </c>
      <c r="L40" s="162" t="s">
        <v>624</v>
      </c>
      <c r="O40" s="160"/>
      <c r="T40" s="165"/>
      <c r="X40" s="321"/>
      <c r="Y40" s="322"/>
      <c r="Z40" s="322"/>
      <c r="AA40" s="322"/>
      <c r="AB40" s="322"/>
      <c r="AC40" s="322"/>
      <c r="AD40" s="322"/>
      <c r="AE40" s="322"/>
      <c r="AF40" s="323"/>
      <c r="AG40" s="164"/>
      <c r="AH40" s="117"/>
    </row>
    <row r="41" spans="1:34">
      <c r="A41" s="117"/>
      <c r="B41" s="122"/>
      <c r="F41" s="160" t="s">
        <v>622</v>
      </c>
      <c r="G41" s="26" t="s">
        <v>632</v>
      </c>
      <c r="L41" s="166" t="s">
        <v>633</v>
      </c>
      <c r="O41" s="160"/>
      <c r="T41" s="165"/>
      <c r="X41" s="321"/>
      <c r="Y41" s="322"/>
      <c r="Z41" s="322"/>
      <c r="AA41" s="322"/>
      <c r="AB41" s="322"/>
      <c r="AC41" s="322"/>
      <c r="AD41" s="322"/>
      <c r="AE41" s="322"/>
      <c r="AF41" s="323"/>
      <c r="AG41" s="164"/>
      <c r="AH41" s="117"/>
    </row>
    <row r="42" spans="1:34">
      <c r="A42" s="117"/>
      <c r="B42" s="122"/>
      <c r="F42" s="160" t="s">
        <v>622</v>
      </c>
      <c r="G42" s="26" t="s">
        <v>634</v>
      </c>
      <c r="L42" s="166" t="s">
        <v>633</v>
      </c>
      <c r="O42" s="160"/>
      <c r="T42" s="162"/>
      <c r="X42" s="321"/>
      <c r="Y42" s="322"/>
      <c r="Z42" s="322"/>
      <c r="AA42" s="322"/>
      <c r="AB42" s="322"/>
      <c r="AC42" s="322"/>
      <c r="AD42" s="322"/>
      <c r="AE42" s="322"/>
      <c r="AF42" s="323"/>
      <c r="AG42" s="164"/>
      <c r="AH42" s="117"/>
    </row>
    <row r="43" spans="1:34">
      <c r="A43" s="117"/>
      <c r="B43" s="122"/>
      <c r="O43" s="160"/>
      <c r="X43" s="324"/>
      <c r="Y43" s="325"/>
      <c r="Z43" s="325"/>
      <c r="AA43" s="325"/>
      <c r="AB43" s="325"/>
      <c r="AC43" s="325"/>
      <c r="AD43" s="325"/>
      <c r="AE43" s="325"/>
      <c r="AF43" s="326"/>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45611</v>
      </c>
      <c r="U51" s="132">
        <f>$U$25</f>
        <v>45618</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9" t="s">
        <v>2037</v>
      </c>
      <c r="Y52" s="310"/>
      <c r="Z52" s="310"/>
      <c r="AA52" s="310"/>
      <c r="AB52" s="310"/>
      <c r="AC52" s="310"/>
      <c r="AD52" s="310"/>
      <c r="AE52" s="310"/>
      <c r="AF52" s="311"/>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177</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179</v>
      </c>
      <c r="V53" s="26">
        <f t="shared" ref="V53:V60" si="2">U53-T53</f>
        <v>2</v>
      </c>
      <c r="W53" s="157"/>
      <c r="X53" s="312"/>
      <c r="Y53" s="313"/>
      <c r="Z53" s="313"/>
      <c r="AA53" s="313"/>
      <c r="AB53" s="313"/>
      <c r="AC53" s="313"/>
      <c r="AD53" s="313"/>
      <c r="AE53" s="313"/>
      <c r="AF53" s="314"/>
      <c r="AG53" s="158"/>
      <c r="AH53" s="117"/>
    </row>
    <row r="54" spans="1:34">
      <c r="A54" s="117"/>
      <c r="B54" s="122"/>
      <c r="P54" s="26" t="s">
        <v>1927</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7</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21</v>
      </c>
      <c r="V54" s="26">
        <f t="shared" si="2"/>
        <v>14</v>
      </c>
      <c r="W54" s="157"/>
      <c r="X54" s="312"/>
      <c r="Y54" s="313"/>
      <c r="Z54" s="313"/>
      <c r="AA54" s="313"/>
      <c r="AB54" s="313"/>
      <c r="AC54" s="313"/>
      <c r="AD54" s="313"/>
      <c r="AE54" s="313"/>
      <c r="AF54" s="314"/>
      <c r="AG54" s="158"/>
      <c r="AH54" s="117"/>
    </row>
    <row r="55" spans="1:34">
      <c r="A55" s="117"/>
      <c r="B55" s="122"/>
      <c r="D55" s="299" t="str">
        <f>"# "&amp;U61</f>
        <v># 245</v>
      </c>
      <c r="E55" s="299"/>
      <c r="P55" s="26" t="s">
        <v>1928</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12"/>
      <c r="Y55" s="313"/>
      <c r="Z55" s="313"/>
      <c r="AA55" s="313"/>
      <c r="AB55" s="313"/>
      <c r="AC55" s="313"/>
      <c r="AD55" s="313"/>
      <c r="AE55" s="313"/>
      <c r="AF55" s="314"/>
      <c r="AG55" s="158"/>
      <c r="AH55" s="117"/>
    </row>
    <row r="56" spans="1:34" ht="17.7" customHeight="1">
      <c r="A56" s="117"/>
      <c r="B56" s="122"/>
      <c r="D56" s="299"/>
      <c r="E56" s="299"/>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12"/>
      <c r="Y56" s="313"/>
      <c r="Z56" s="313"/>
      <c r="AA56" s="313"/>
      <c r="AB56" s="313"/>
      <c r="AC56" s="313"/>
      <c r="AD56" s="313"/>
      <c r="AE56" s="313"/>
      <c r="AF56" s="314"/>
      <c r="AG56" s="158"/>
      <c r="AH56" s="117"/>
    </row>
    <row r="57" spans="1:34" ht="17.7" customHeight="1">
      <c r="A57" s="117"/>
      <c r="B57" s="122"/>
      <c r="D57" s="299"/>
      <c r="E57" s="299"/>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1</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0</v>
      </c>
      <c r="W57" s="157"/>
      <c r="X57" s="312"/>
      <c r="Y57" s="313"/>
      <c r="Z57" s="313"/>
      <c r="AA57" s="313"/>
      <c r="AB57" s="313"/>
      <c r="AC57" s="313"/>
      <c r="AD57" s="313"/>
      <c r="AE57" s="313"/>
      <c r="AF57" s="314"/>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4</v>
      </c>
      <c r="V58" s="26">
        <f t="shared" si="2"/>
        <v>4</v>
      </c>
      <c r="W58" s="157"/>
      <c r="X58" s="312"/>
      <c r="Y58" s="313"/>
      <c r="Z58" s="313"/>
      <c r="AA58" s="313"/>
      <c r="AB58" s="313"/>
      <c r="AC58" s="313"/>
      <c r="AD58" s="313"/>
      <c r="AE58" s="313"/>
      <c r="AF58" s="314"/>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46</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26</v>
      </c>
      <c r="V59" s="26">
        <f t="shared" si="2"/>
        <v>-20</v>
      </c>
      <c r="X59" s="312"/>
      <c r="Y59" s="313"/>
      <c r="Z59" s="313"/>
      <c r="AA59" s="313"/>
      <c r="AB59" s="313"/>
      <c r="AC59" s="313"/>
      <c r="AD59" s="313"/>
      <c r="AE59" s="313"/>
      <c r="AF59" s="314"/>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12"/>
      <c r="Y60" s="313"/>
      <c r="Z60" s="313"/>
      <c r="AA60" s="313"/>
      <c r="AB60" s="313"/>
      <c r="AC60" s="313"/>
      <c r="AD60" s="313"/>
      <c r="AE60" s="313"/>
      <c r="AF60" s="314"/>
      <c r="AG60" s="158"/>
      <c r="AH60" s="117"/>
    </row>
    <row r="61" spans="1:34">
      <c r="A61" s="117"/>
      <c r="B61" s="122"/>
      <c r="T61" s="128">
        <f>SUM(T52:T60)</f>
        <v>245</v>
      </c>
      <c r="U61" s="128">
        <f>SUM(U52:U60)</f>
        <v>245</v>
      </c>
      <c r="X61" s="312"/>
      <c r="Y61" s="313"/>
      <c r="Z61" s="313"/>
      <c r="AA61" s="313"/>
      <c r="AB61" s="313"/>
      <c r="AC61" s="313"/>
      <c r="AD61" s="313"/>
      <c r="AE61" s="313"/>
      <c r="AF61" s="314"/>
      <c r="AG61" s="158"/>
      <c r="AH61" s="117"/>
    </row>
    <row r="62" spans="1:34">
      <c r="A62" s="117"/>
      <c r="B62" s="122"/>
      <c r="X62" s="312"/>
      <c r="Y62" s="313"/>
      <c r="Z62" s="313"/>
      <c r="AA62" s="313"/>
      <c r="AB62" s="313"/>
      <c r="AC62" s="313"/>
      <c r="AD62" s="313"/>
      <c r="AE62" s="313"/>
      <c r="AF62" s="314"/>
      <c r="AG62" s="158"/>
      <c r="AH62" s="117"/>
    </row>
    <row r="63" spans="1:34">
      <c r="A63" s="117"/>
      <c r="B63" s="122"/>
      <c r="P63" s="130" t="s">
        <v>637</v>
      </c>
      <c r="Q63" s="131"/>
      <c r="R63" s="131"/>
      <c r="S63" s="131"/>
      <c r="T63" s="131"/>
      <c r="U63" s="131"/>
      <c r="V63" s="131"/>
      <c r="X63" s="312"/>
      <c r="Y63" s="313"/>
      <c r="Z63" s="313"/>
      <c r="AA63" s="313"/>
      <c r="AB63" s="313"/>
      <c r="AC63" s="313"/>
      <c r="AD63" s="313"/>
      <c r="AE63" s="313"/>
      <c r="AF63" s="314"/>
      <c r="AG63" s="158"/>
      <c r="AH63" s="117"/>
    </row>
    <row r="64" spans="1:34">
      <c r="A64" s="117"/>
      <c r="B64" s="122"/>
      <c r="O64" s="160" t="s">
        <v>622</v>
      </c>
      <c r="P64" s="26" t="s">
        <v>217</v>
      </c>
      <c r="T64" s="162" t="s">
        <v>624</v>
      </c>
      <c r="X64" s="312"/>
      <c r="Y64" s="313"/>
      <c r="Z64" s="313"/>
      <c r="AA64" s="313"/>
      <c r="AB64" s="313"/>
      <c r="AC64" s="313"/>
      <c r="AD64" s="313"/>
      <c r="AE64" s="313"/>
      <c r="AF64" s="314"/>
      <c r="AG64" s="158"/>
      <c r="AH64" s="117"/>
    </row>
    <row r="65" spans="1:34">
      <c r="A65" s="117"/>
      <c r="B65" s="122"/>
      <c r="O65" s="160" t="s">
        <v>622</v>
      </c>
      <c r="P65" s="26" t="s">
        <v>216</v>
      </c>
      <c r="T65" s="162" t="s">
        <v>624</v>
      </c>
      <c r="X65" s="312"/>
      <c r="Y65" s="313"/>
      <c r="Z65" s="313"/>
      <c r="AA65" s="313"/>
      <c r="AB65" s="313"/>
      <c r="AC65" s="313"/>
      <c r="AD65" s="313"/>
      <c r="AE65" s="313"/>
      <c r="AF65" s="314"/>
      <c r="AG65" s="158"/>
      <c r="AH65" s="117"/>
    </row>
    <row r="66" spans="1:34">
      <c r="A66" s="117"/>
      <c r="B66" s="122"/>
      <c r="O66" s="160" t="s">
        <v>622</v>
      </c>
      <c r="P66" s="26" t="s">
        <v>214</v>
      </c>
      <c r="T66" s="162" t="s">
        <v>624</v>
      </c>
      <c r="X66" s="312"/>
      <c r="Y66" s="313"/>
      <c r="Z66" s="313"/>
      <c r="AA66" s="313"/>
      <c r="AB66" s="313"/>
      <c r="AC66" s="313"/>
      <c r="AD66" s="313"/>
      <c r="AE66" s="313"/>
      <c r="AF66" s="314"/>
      <c r="AG66" s="158"/>
      <c r="AH66" s="117"/>
    </row>
    <row r="67" spans="1:34">
      <c r="A67" s="117"/>
      <c r="B67" s="122"/>
      <c r="O67" s="160" t="s">
        <v>622</v>
      </c>
      <c r="P67" s="26" t="s">
        <v>213</v>
      </c>
      <c r="T67" s="162" t="s">
        <v>624</v>
      </c>
      <c r="X67" s="312"/>
      <c r="Y67" s="313"/>
      <c r="Z67" s="313"/>
      <c r="AA67" s="313"/>
      <c r="AB67" s="313"/>
      <c r="AC67" s="313"/>
      <c r="AD67" s="313"/>
      <c r="AE67" s="313"/>
      <c r="AF67" s="314"/>
      <c r="AG67" s="158"/>
      <c r="AH67" s="117"/>
    </row>
    <row r="68" spans="1:34">
      <c r="A68" s="117"/>
      <c r="B68" s="122"/>
      <c r="O68" s="160" t="s">
        <v>622</v>
      </c>
      <c r="P68" s="26" t="s">
        <v>218</v>
      </c>
      <c r="T68" s="162" t="s">
        <v>624</v>
      </c>
      <c r="X68" s="312"/>
      <c r="Y68" s="313"/>
      <c r="Z68" s="313"/>
      <c r="AA68" s="313"/>
      <c r="AB68" s="313"/>
      <c r="AC68" s="313"/>
      <c r="AD68" s="313"/>
      <c r="AE68" s="313"/>
      <c r="AF68" s="314"/>
      <c r="AG68" s="158"/>
      <c r="AH68" s="117"/>
    </row>
    <row r="69" spans="1:34">
      <c r="A69" s="117"/>
      <c r="B69" s="122"/>
      <c r="O69" s="160" t="s">
        <v>622</v>
      </c>
      <c r="P69" s="26" t="s">
        <v>219</v>
      </c>
      <c r="T69" s="162" t="s">
        <v>624</v>
      </c>
      <c r="X69" s="312"/>
      <c r="Y69" s="313"/>
      <c r="Z69" s="313"/>
      <c r="AA69" s="313"/>
      <c r="AB69" s="313"/>
      <c r="AC69" s="313"/>
      <c r="AD69" s="313"/>
      <c r="AE69" s="313"/>
      <c r="AF69" s="314"/>
      <c r="AG69" s="158"/>
      <c r="AH69" s="117"/>
    </row>
    <row r="70" spans="1:34">
      <c r="A70" s="117"/>
      <c r="B70" s="122"/>
      <c r="O70" s="160" t="s">
        <v>622</v>
      </c>
      <c r="P70" s="26" t="s">
        <v>220</v>
      </c>
      <c r="T70" s="162" t="s">
        <v>624</v>
      </c>
      <c r="X70" s="312"/>
      <c r="Y70" s="313"/>
      <c r="Z70" s="313"/>
      <c r="AA70" s="313"/>
      <c r="AB70" s="313"/>
      <c r="AC70" s="313"/>
      <c r="AD70" s="313"/>
      <c r="AE70" s="313"/>
      <c r="AF70" s="314"/>
      <c r="AG70" s="158"/>
      <c r="AH70" s="117"/>
    </row>
    <row r="71" spans="1:34">
      <c r="A71" s="117"/>
      <c r="B71" s="122"/>
      <c r="O71" s="160" t="s">
        <v>622</v>
      </c>
      <c r="P71" s="26" t="s">
        <v>215</v>
      </c>
      <c r="T71" s="162" t="s">
        <v>624</v>
      </c>
      <c r="X71" s="312"/>
      <c r="Y71" s="313"/>
      <c r="Z71" s="313"/>
      <c r="AA71" s="313"/>
      <c r="AB71" s="313"/>
      <c r="AC71" s="313"/>
      <c r="AD71" s="313"/>
      <c r="AE71" s="313"/>
      <c r="AF71" s="314"/>
      <c r="AG71" s="158"/>
      <c r="AH71" s="117"/>
    </row>
    <row r="72" spans="1:34">
      <c r="A72" s="117"/>
      <c r="B72" s="122"/>
      <c r="O72" s="160" t="s">
        <v>622</v>
      </c>
      <c r="P72" s="26" t="s">
        <v>182</v>
      </c>
      <c r="T72" s="288" t="s">
        <v>2022</v>
      </c>
      <c r="X72" s="312"/>
      <c r="Y72" s="313"/>
      <c r="Z72" s="313"/>
      <c r="AA72" s="313"/>
      <c r="AB72" s="313"/>
      <c r="AC72" s="313"/>
      <c r="AD72" s="313"/>
      <c r="AE72" s="313"/>
      <c r="AF72" s="314"/>
      <c r="AG72" s="158"/>
      <c r="AH72" s="117"/>
    </row>
    <row r="73" spans="1:34">
      <c r="A73" s="117"/>
      <c r="B73" s="122"/>
      <c r="O73" s="160" t="s">
        <v>622</v>
      </c>
      <c r="P73" s="178" t="s">
        <v>639</v>
      </c>
      <c r="T73" s="166" t="s">
        <v>640</v>
      </c>
      <c r="X73" s="312"/>
      <c r="Y73" s="313"/>
      <c r="Z73" s="313"/>
      <c r="AA73" s="313"/>
      <c r="AB73" s="313"/>
      <c r="AC73" s="313"/>
      <c r="AD73" s="313"/>
      <c r="AE73" s="313"/>
      <c r="AF73" s="314"/>
      <c r="AG73" s="158"/>
      <c r="AH73" s="117"/>
    </row>
    <row r="74" spans="1:34">
      <c r="A74" s="117"/>
      <c r="B74" s="122"/>
      <c r="P74" s="159"/>
      <c r="X74" s="312"/>
      <c r="Y74" s="313"/>
      <c r="Z74" s="313"/>
      <c r="AA74" s="313"/>
      <c r="AB74" s="313"/>
      <c r="AC74" s="313"/>
      <c r="AD74" s="313"/>
      <c r="AE74" s="313"/>
      <c r="AF74" s="314"/>
      <c r="AG74" s="158"/>
      <c r="AH74" s="117"/>
    </row>
    <row r="75" spans="1:34">
      <c r="A75" s="117"/>
      <c r="B75" s="122"/>
      <c r="P75" s="130" t="s">
        <v>641</v>
      </c>
      <c r="Q75" s="131"/>
      <c r="R75" s="131"/>
      <c r="S75" s="131"/>
      <c r="T75" s="131"/>
      <c r="U75" s="131"/>
      <c r="V75" s="131"/>
      <c r="X75" s="312"/>
      <c r="Y75" s="313"/>
      <c r="Z75" s="313"/>
      <c r="AA75" s="313"/>
      <c r="AB75" s="313"/>
      <c r="AC75" s="313"/>
      <c r="AD75" s="313"/>
      <c r="AE75" s="313"/>
      <c r="AF75" s="314"/>
      <c r="AG75" s="158"/>
      <c r="AH75" s="117"/>
    </row>
    <row r="76" spans="1:34">
      <c r="A76" s="117"/>
      <c r="B76" s="122"/>
      <c r="O76" s="160" t="s">
        <v>622</v>
      </c>
      <c r="P76" s="26" t="s">
        <v>642</v>
      </c>
      <c r="T76" s="287" t="s">
        <v>2021</v>
      </c>
      <c r="X76" s="312"/>
      <c r="Y76" s="313"/>
      <c r="Z76" s="313"/>
      <c r="AA76" s="313"/>
      <c r="AB76" s="313"/>
      <c r="AC76" s="313"/>
      <c r="AD76" s="313"/>
      <c r="AE76" s="313"/>
      <c r="AF76" s="314"/>
      <c r="AG76" s="158"/>
      <c r="AH76" s="117"/>
    </row>
    <row r="77" spans="1:34">
      <c r="A77" s="117"/>
      <c r="B77" s="122"/>
      <c r="O77" s="160" t="s">
        <v>622</v>
      </c>
      <c r="P77" s="26" t="s">
        <v>312</v>
      </c>
      <c r="T77" s="162" t="s">
        <v>643</v>
      </c>
      <c r="X77" s="312"/>
      <c r="Y77" s="313"/>
      <c r="Z77" s="313"/>
      <c r="AA77" s="313"/>
      <c r="AB77" s="313"/>
      <c r="AC77" s="313"/>
      <c r="AD77" s="313"/>
      <c r="AE77" s="313"/>
      <c r="AF77" s="314"/>
      <c r="AG77" s="158"/>
      <c r="AH77" s="117"/>
    </row>
    <row r="78" spans="1:34">
      <c r="A78" s="117"/>
      <c r="B78" s="122"/>
      <c r="O78" s="160" t="s">
        <v>622</v>
      </c>
      <c r="P78" s="26" t="s">
        <v>326</v>
      </c>
      <c r="T78" s="162" t="s">
        <v>624</v>
      </c>
      <c r="X78" s="312"/>
      <c r="Y78" s="313"/>
      <c r="Z78" s="313"/>
      <c r="AA78" s="313"/>
      <c r="AB78" s="313"/>
      <c r="AC78" s="313"/>
      <c r="AD78" s="313"/>
      <c r="AE78" s="313"/>
      <c r="AF78" s="314"/>
      <c r="AG78" s="158"/>
      <c r="AH78" s="117"/>
    </row>
    <row r="79" spans="1:34">
      <c r="A79" s="117"/>
      <c r="B79" s="122"/>
      <c r="O79" s="160" t="s">
        <v>622</v>
      </c>
      <c r="P79" s="26" t="s">
        <v>334</v>
      </c>
      <c r="T79" s="166" t="s">
        <v>638</v>
      </c>
      <c r="X79" s="312"/>
      <c r="Y79" s="313"/>
      <c r="Z79" s="313"/>
      <c r="AA79" s="313"/>
      <c r="AB79" s="313"/>
      <c r="AC79" s="313"/>
      <c r="AD79" s="313"/>
      <c r="AE79" s="313"/>
      <c r="AF79" s="314"/>
      <c r="AG79" s="158"/>
      <c r="AH79" s="117"/>
    </row>
    <row r="80" spans="1:34">
      <c r="A80" s="117"/>
      <c r="B80" s="122"/>
      <c r="O80" s="160"/>
      <c r="T80" s="161"/>
      <c r="X80" s="315"/>
      <c r="Y80" s="316"/>
      <c r="Z80" s="316"/>
      <c r="AA80" s="316"/>
      <c r="AB80" s="316"/>
      <c r="AC80" s="316"/>
      <c r="AD80" s="316"/>
      <c r="AE80" s="316"/>
      <c r="AF80" s="317"/>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45611</v>
      </c>
      <c r="U86" s="132">
        <f>$U$25</f>
        <v>45618</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9" t="s">
        <v>2039</v>
      </c>
      <c r="Y87" s="328"/>
      <c r="Z87" s="328"/>
      <c r="AA87" s="328"/>
      <c r="AB87" s="328"/>
      <c r="AC87" s="328"/>
      <c r="AD87" s="328"/>
      <c r="AE87" s="328"/>
      <c r="AF87" s="328"/>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8"/>
      <c r="Y88" s="328"/>
      <c r="Z88" s="328"/>
      <c r="AA88" s="328"/>
      <c r="AB88" s="328"/>
      <c r="AC88" s="328"/>
      <c r="AD88" s="328"/>
      <c r="AE88" s="328"/>
      <c r="AF88" s="328"/>
      <c r="AG88" s="163"/>
      <c r="AH88" s="117"/>
    </row>
    <row r="89" spans="1:34">
      <c r="A89" s="117"/>
      <c r="B89" s="122"/>
      <c r="P89" s="26" t="s">
        <v>1927</v>
      </c>
      <c r="T89" s="26">
        <f>COUNTIFS(Table4[Status Anterior],'1. Status Resumo'!$P89,Table4[Sub-âmbito],'1. Status Resumo'!$G$83,Table4[Tipo de teste],"2. Campo")</f>
        <v>41</v>
      </c>
      <c r="U89" s="26">
        <f>COUNTIFS(Table4[Status Atual],'1. Status Resumo'!$P89,Table4[Sub-âmbito],'1. Status Resumo'!$G$83,Table4[Tipo de teste],"2. Campo")</f>
        <v>58</v>
      </c>
      <c r="V89" s="26">
        <f t="shared" si="4"/>
        <v>17</v>
      </c>
      <c r="X89" s="328"/>
      <c r="Y89" s="328"/>
      <c r="Z89" s="328"/>
      <c r="AA89" s="328"/>
      <c r="AB89" s="328"/>
      <c r="AC89" s="328"/>
      <c r="AD89" s="328"/>
      <c r="AE89" s="328"/>
      <c r="AF89" s="328"/>
      <c r="AG89" s="163"/>
      <c r="AH89" s="117"/>
    </row>
    <row r="90" spans="1:34" ht="17.7" customHeight="1">
      <c r="A90" s="117"/>
      <c r="B90" s="122"/>
      <c r="D90" s="299" t="str">
        <f>"# "&amp;U96</f>
        <v># 135</v>
      </c>
      <c r="E90" s="299"/>
      <c r="P90" s="26" t="s">
        <v>1928</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8"/>
      <c r="Y90" s="328"/>
      <c r="Z90" s="328"/>
      <c r="AA90" s="328"/>
      <c r="AB90" s="328"/>
      <c r="AC90" s="328"/>
      <c r="AD90" s="328"/>
      <c r="AE90" s="328"/>
      <c r="AF90" s="328"/>
      <c r="AG90" s="163"/>
      <c r="AH90" s="117"/>
    </row>
    <row r="91" spans="1:34" ht="17.7" customHeight="1">
      <c r="A91" s="117"/>
      <c r="B91" s="122"/>
      <c r="D91" s="299"/>
      <c r="E91" s="299"/>
      <c r="P91" s="26" t="s">
        <v>615</v>
      </c>
      <c r="T91" s="26">
        <f>COUNTIFS(Table4[Status Anterior],'1. Status Resumo'!$P91,Table4[Sub-âmbito],'1. Status Resumo'!$G$83,Table4[Tipo de teste],"2. Campo")</f>
        <v>28</v>
      </c>
      <c r="U91" s="26">
        <f>COUNTIFS(Table4[Status Atual],'1. Status Resumo'!$P91,Table4[Sub-âmbito],'1. Status Resumo'!$G$83,Table4[Tipo de teste],"2. Campo")</f>
        <v>8</v>
      </c>
      <c r="V91" s="26">
        <f t="shared" si="4"/>
        <v>-20</v>
      </c>
      <c r="X91" s="328"/>
      <c r="Y91" s="328"/>
      <c r="Z91" s="328"/>
      <c r="AA91" s="328"/>
      <c r="AB91" s="328"/>
      <c r="AC91" s="328"/>
      <c r="AD91" s="328"/>
      <c r="AE91" s="328"/>
      <c r="AF91" s="328"/>
      <c r="AG91" s="163"/>
      <c r="AH91" s="117"/>
    </row>
    <row r="92" spans="1:34" ht="17.7" customHeight="1">
      <c r="A92" s="117"/>
      <c r="B92" s="122"/>
      <c r="D92" s="299"/>
      <c r="E92" s="299"/>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8"/>
      <c r="Y92" s="328"/>
      <c r="Z92" s="328"/>
      <c r="AA92" s="328"/>
      <c r="AB92" s="328"/>
      <c r="AC92" s="328"/>
      <c r="AD92" s="328"/>
      <c r="AE92" s="328"/>
      <c r="AF92" s="328"/>
      <c r="AG92" s="163"/>
      <c r="AH92" s="117"/>
    </row>
    <row r="93" spans="1:34">
      <c r="A93" s="117"/>
      <c r="B93" s="122"/>
      <c r="D93" s="299"/>
      <c r="E93" s="299"/>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3</v>
      </c>
      <c r="V93" s="26">
        <f t="shared" si="4"/>
        <v>3</v>
      </c>
      <c r="X93" s="328"/>
      <c r="Y93" s="328"/>
      <c r="Z93" s="328"/>
      <c r="AA93" s="328"/>
      <c r="AB93" s="328"/>
      <c r="AC93" s="328"/>
      <c r="AD93" s="328"/>
      <c r="AE93" s="328"/>
      <c r="AF93" s="328"/>
      <c r="AG93" s="163"/>
      <c r="AH93" s="117"/>
    </row>
    <row r="94" spans="1:34">
      <c r="A94" s="117"/>
      <c r="B94" s="122"/>
      <c r="D94" s="299"/>
      <c r="E94" s="299"/>
      <c r="P94" s="26" t="s">
        <v>619</v>
      </c>
      <c r="T94" s="26">
        <f>COUNTIFS(Table4[Status Anterior],'1. Status Resumo'!$P94,Table4[Sub-âmbito],'1. Status Resumo'!$G$83,Table4[Tipo de teste],"2. Campo")</f>
        <v>12</v>
      </c>
      <c r="U94" s="26">
        <f>COUNTIFS(Table4[Status Atual],'1. Status Resumo'!$P94,Table4[Sub-âmbito],'1. Status Resumo'!$G$83,Table4[Tipo de teste],"2. Campo")</f>
        <v>12</v>
      </c>
      <c r="V94" s="26">
        <f t="shared" si="4"/>
        <v>0</v>
      </c>
      <c r="X94" s="328"/>
      <c r="Y94" s="328"/>
      <c r="Z94" s="328"/>
      <c r="AA94" s="328"/>
      <c r="AB94" s="328"/>
      <c r="AC94" s="328"/>
      <c r="AD94" s="328"/>
      <c r="AE94" s="328"/>
      <c r="AF94" s="3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8"/>
      <c r="Y95" s="328"/>
      <c r="Z95" s="328"/>
      <c r="AA95" s="328"/>
      <c r="AB95" s="328"/>
      <c r="AC95" s="328"/>
      <c r="AD95" s="328"/>
      <c r="AE95" s="328"/>
      <c r="AF95" s="328"/>
      <c r="AG95" s="163"/>
      <c r="AH95" s="117"/>
    </row>
    <row r="96" spans="1:34">
      <c r="A96" s="117"/>
      <c r="B96" s="122"/>
      <c r="T96" s="128">
        <f>SUM(T87:T95)</f>
        <v>135</v>
      </c>
      <c r="U96" s="128">
        <f>SUM(U87:U95)</f>
        <v>135</v>
      </c>
      <c r="X96" s="328"/>
      <c r="Y96" s="328"/>
      <c r="Z96" s="328"/>
      <c r="AA96" s="328"/>
      <c r="AB96" s="328"/>
      <c r="AC96" s="328"/>
      <c r="AD96" s="328"/>
      <c r="AE96" s="328"/>
      <c r="AF96" s="328"/>
      <c r="AG96" s="163"/>
      <c r="AH96" s="117"/>
    </row>
    <row r="97" spans="1:34">
      <c r="A97" s="117"/>
      <c r="B97" s="122"/>
      <c r="T97" s="128"/>
      <c r="U97" s="128"/>
      <c r="X97" s="328"/>
      <c r="Y97" s="328"/>
      <c r="Z97" s="328"/>
      <c r="AA97" s="328"/>
      <c r="AB97" s="328"/>
      <c r="AC97" s="328"/>
      <c r="AD97" s="328"/>
      <c r="AE97" s="328"/>
      <c r="AF97" s="328"/>
      <c r="AG97" s="163"/>
      <c r="AH97" s="117"/>
    </row>
    <row r="98" spans="1:34">
      <c r="A98" s="117"/>
      <c r="B98" s="122"/>
      <c r="P98" s="130" t="s">
        <v>620</v>
      </c>
      <c r="Q98" s="131"/>
      <c r="R98" s="131"/>
      <c r="S98" s="131"/>
      <c r="T98" s="131"/>
      <c r="U98" s="131"/>
      <c r="V98" s="131"/>
      <c r="X98" s="328"/>
      <c r="Y98" s="328"/>
      <c r="Z98" s="328"/>
      <c r="AA98" s="328"/>
      <c r="AB98" s="328"/>
      <c r="AC98" s="328"/>
      <c r="AD98" s="328"/>
      <c r="AE98" s="328"/>
      <c r="AF98" s="328"/>
      <c r="AG98" s="163"/>
      <c r="AH98" s="117"/>
    </row>
    <row r="99" spans="1:34">
      <c r="A99" s="117"/>
      <c r="B99" s="122"/>
      <c r="O99" s="160" t="s">
        <v>622</v>
      </c>
      <c r="P99" s="26" t="s">
        <v>380</v>
      </c>
      <c r="T99" s="207" t="s">
        <v>1930</v>
      </c>
      <c r="X99" s="328"/>
      <c r="Y99" s="328"/>
      <c r="Z99" s="328"/>
      <c r="AA99" s="328"/>
      <c r="AB99" s="328"/>
      <c r="AC99" s="328"/>
      <c r="AD99" s="328"/>
      <c r="AE99" s="328"/>
      <c r="AF99" s="328"/>
      <c r="AG99" s="163"/>
      <c r="AH99" s="117"/>
    </row>
    <row r="100" spans="1:34">
      <c r="A100" s="117"/>
      <c r="B100" s="122"/>
      <c r="O100" s="160" t="s">
        <v>622</v>
      </c>
      <c r="P100" s="26" t="s">
        <v>336</v>
      </c>
      <c r="T100" s="207" t="s">
        <v>1930</v>
      </c>
      <c r="X100" s="328"/>
      <c r="Y100" s="328"/>
      <c r="Z100" s="328"/>
      <c r="AA100" s="328"/>
      <c r="AB100" s="328"/>
      <c r="AC100" s="328"/>
      <c r="AD100" s="328"/>
      <c r="AE100" s="328"/>
      <c r="AF100" s="328"/>
      <c r="AG100" s="163"/>
      <c r="AH100" s="117"/>
    </row>
    <row r="101" spans="1:34">
      <c r="A101" s="117"/>
      <c r="B101" s="122"/>
      <c r="O101" s="160" t="s">
        <v>622</v>
      </c>
      <c r="P101" s="26" t="s">
        <v>369</v>
      </c>
      <c r="T101" s="207" t="s">
        <v>1930</v>
      </c>
      <c r="X101" s="328"/>
      <c r="Y101" s="328"/>
      <c r="Z101" s="328"/>
      <c r="AA101" s="328"/>
      <c r="AB101" s="328"/>
      <c r="AC101" s="328"/>
      <c r="AD101" s="328"/>
      <c r="AE101" s="328"/>
      <c r="AF101" s="328"/>
      <c r="AG101" s="163"/>
      <c r="AH101" s="117"/>
    </row>
    <row r="102" spans="1:34">
      <c r="A102" s="117"/>
      <c r="B102" s="122"/>
      <c r="O102" s="160" t="s">
        <v>622</v>
      </c>
      <c r="P102" s="26" t="s">
        <v>440</v>
      </c>
      <c r="T102" s="162" t="s">
        <v>624</v>
      </c>
      <c r="X102" s="328"/>
      <c r="Y102" s="328"/>
      <c r="Z102" s="328"/>
      <c r="AA102" s="328"/>
      <c r="AB102" s="328"/>
      <c r="AC102" s="328"/>
      <c r="AD102" s="328"/>
      <c r="AE102" s="328"/>
      <c r="AF102" s="328"/>
      <c r="AG102" s="163"/>
      <c r="AH102" s="117"/>
    </row>
    <row r="103" spans="1:34">
      <c r="A103" s="117"/>
      <c r="B103" s="122"/>
      <c r="O103" s="160" t="s">
        <v>622</v>
      </c>
      <c r="P103" s="26" t="s">
        <v>442</v>
      </c>
      <c r="T103" s="162" t="s">
        <v>624</v>
      </c>
      <c r="X103" s="328"/>
      <c r="Y103" s="328"/>
      <c r="Z103" s="328"/>
      <c r="AA103" s="328"/>
      <c r="AB103" s="328"/>
      <c r="AC103" s="328"/>
      <c r="AD103" s="328"/>
      <c r="AE103" s="328"/>
      <c r="AF103" s="328"/>
      <c r="AG103" s="163"/>
      <c r="AH103" s="117"/>
    </row>
    <row r="104" spans="1:34">
      <c r="A104" s="117"/>
      <c r="B104" s="122"/>
      <c r="O104" s="160" t="s">
        <v>622</v>
      </c>
      <c r="P104" s="26" t="s">
        <v>1957</v>
      </c>
      <c r="T104" s="284" t="s">
        <v>633</v>
      </c>
      <c r="X104" s="328"/>
      <c r="Y104" s="328"/>
      <c r="Z104" s="328"/>
      <c r="AA104" s="328"/>
      <c r="AB104" s="328"/>
      <c r="AC104" s="328"/>
      <c r="AD104" s="328"/>
      <c r="AE104" s="328"/>
      <c r="AF104" s="328"/>
      <c r="AG104" s="163"/>
      <c r="AH104" s="117"/>
    </row>
    <row r="105" spans="1:34">
      <c r="A105" s="117"/>
      <c r="B105" s="122"/>
      <c r="O105" s="160" t="s">
        <v>622</v>
      </c>
      <c r="P105" s="26" t="s">
        <v>1958</v>
      </c>
      <c r="T105" s="207" t="s">
        <v>2021</v>
      </c>
      <c r="X105" s="328"/>
      <c r="Y105" s="328"/>
      <c r="Z105" s="328"/>
      <c r="AA105" s="328"/>
      <c r="AB105" s="328"/>
      <c r="AC105" s="328"/>
      <c r="AD105" s="328"/>
      <c r="AE105" s="328"/>
      <c r="AF105" s="328"/>
      <c r="AG105" s="163"/>
      <c r="AH105" s="117"/>
    </row>
    <row r="106" spans="1:34">
      <c r="A106" s="117"/>
      <c r="B106" s="122"/>
      <c r="O106" s="160" t="s">
        <v>622</v>
      </c>
      <c r="P106" s="26" t="s">
        <v>393</v>
      </c>
      <c r="T106" s="162" t="s">
        <v>624</v>
      </c>
      <c r="X106" s="328"/>
      <c r="Y106" s="328"/>
      <c r="Z106" s="328"/>
      <c r="AA106" s="328"/>
      <c r="AB106" s="328"/>
      <c r="AC106" s="328"/>
      <c r="AD106" s="328"/>
      <c r="AE106" s="328"/>
      <c r="AF106" s="328"/>
      <c r="AG106" s="163"/>
      <c r="AH106" s="117"/>
    </row>
    <row r="107" spans="1:34">
      <c r="A107" s="117"/>
      <c r="B107" s="122"/>
      <c r="O107" s="160"/>
      <c r="T107" s="162"/>
      <c r="X107" s="328"/>
      <c r="Y107" s="328"/>
      <c r="Z107" s="328"/>
      <c r="AA107" s="328"/>
      <c r="AB107" s="328"/>
      <c r="AC107" s="328"/>
      <c r="AD107" s="328"/>
      <c r="AE107" s="328"/>
      <c r="AF107" s="328"/>
      <c r="AG107" s="163"/>
      <c r="AH107" s="117"/>
    </row>
    <row r="108" spans="1:34">
      <c r="A108" s="117"/>
      <c r="B108" s="122"/>
      <c r="O108" s="160"/>
      <c r="T108" s="162"/>
      <c r="X108" s="328"/>
      <c r="Y108" s="328"/>
      <c r="Z108" s="328"/>
      <c r="AA108" s="328"/>
      <c r="AB108" s="328"/>
      <c r="AC108" s="328"/>
      <c r="AD108" s="328"/>
      <c r="AE108" s="328"/>
      <c r="AF108" s="328"/>
      <c r="AG108" s="163"/>
      <c r="AH108" s="117"/>
    </row>
    <row r="109" spans="1:34">
      <c r="A109" s="117"/>
      <c r="B109" s="122"/>
      <c r="O109" s="160"/>
      <c r="T109" s="162"/>
      <c r="X109" s="328"/>
      <c r="Y109" s="328"/>
      <c r="Z109" s="328"/>
      <c r="AA109" s="328"/>
      <c r="AB109" s="328"/>
      <c r="AC109" s="328"/>
      <c r="AD109" s="328"/>
      <c r="AE109" s="328"/>
      <c r="AF109" s="328"/>
      <c r="AG109" s="163"/>
      <c r="AH109" s="117"/>
    </row>
    <row r="110" spans="1:34">
      <c r="A110" s="117"/>
      <c r="B110" s="122"/>
      <c r="O110" s="160"/>
      <c r="T110" s="162"/>
      <c r="X110" s="328"/>
      <c r="Y110" s="328"/>
      <c r="Z110" s="328"/>
      <c r="AA110" s="328"/>
      <c r="AB110" s="328"/>
      <c r="AC110" s="328"/>
      <c r="AD110" s="328"/>
      <c r="AE110" s="328"/>
      <c r="AF110" s="328"/>
      <c r="AG110" s="163"/>
      <c r="AH110" s="117"/>
    </row>
    <row r="111" spans="1:34">
      <c r="A111" s="117"/>
      <c r="B111" s="122"/>
      <c r="O111" s="160"/>
      <c r="T111" s="162"/>
      <c r="X111" s="328"/>
      <c r="Y111" s="328"/>
      <c r="Z111" s="328"/>
      <c r="AA111" s="328"/>
      <c r="AB111" s="328"/>
      <c r="AC111" s="328"/>
      <c r="AD111" s="328"/>
      <c r="AE111" s="328"/>
      <c r="AF111" s="328"/>
      <c r="AG111" s="163"/>
      <c r="AH111" s="117"/>
    </row>
    <row r="112" spans="1:34">
      <c r="A112" s="117"/>
      <c r="B112" s="122"/>
      <c r="O112" s="160"/>
      <c r="T112" s="162"/>
      <c r="X112" s="328"/>
      <c r="Y112" s="328"/>
      <c r="Z112" s="328"/>
      <c r="AA112" s="328"/>
      <c r="AB112" s="328"/>
      <c r="AC112" s="328"/>
      <c r="AD112" s="328"/>
      <c r="AE112" s="328"/>
      <c r="AF112" s="328"/>
      <c r="AG112" s="163"/>
      <c r="AH112" s="117"/>
    </row>
    <row r="113" spans="1:34">
      <c r="A113" s="117"/>
      <c r="B113" s="122"/>
      <c r="O113" s="160"/>
      <c r="T113" s="162"/>
      <c r="X113" s="328"/>
      <c r="Y113" s="328"/>
      <c r="Z113" s="328"/>
      <c r="AA113" s="328"/>
      <c r="AB113" s="328"/>
      <c r="AC113" s="328"/>
      <c r="AD113" s="328"/>
      <c r="AE113" s="328"/>
      <c r="AF113" s="328"/>
      <c r="AG113" s="163"/>
      <c r="AH113" s="117"/>
    </row>
    <row r="114" spans="1:34">
      <c r="A114" s="117"/>
      <c r="B114" s="122"/>
      <c r="O114" s="160"/>
      <c r="T114" s="162"/>
      <c r="X114" s="328"/>
      <c r="Y114" s="328"/>
      <c r="Z114" s="328"/>
      <c r="AA114" s="328"/>
      <c r="AB114" s="328"/>
      <c r="AC114" s="328"/>
      <c r="AD114" s="328"/>
      <c r="AE114" s="328"/>
      <c r="AF114" s="328"/>
      <c r="AG114" s="163"/>
      <c r="AH114" s="117"/>
    </row>
    <row r="115" spans="1:34">
      <c r="A115" s="117"/>
      <c r="B115" s="122"/>
      <c r="O115" s="160"/>
      <c r="T115" s="162"/>
      <c r="X115" s="328"/>
      <c r="Y115" s="328"/>
      <c r="Z115" s="328"/>
      <c r="AA115" s="328"/>
      <c r="AB115" s="328"/>
      <c r="AC115" s="328"/>
      <c r="AD115" s="328"/>
      <c r="AE115" s="328"/>
      <c r="AF115" s="328"/>
      <c r="AG115" s="163"/>
      <c r="AH115" s="117"/>
    </row>
    <row r="116" spans="1:34">
      <c r="A116" s="117"/>
      <c r="B116" s="122"/>
      <c r="O116" s="160"/>
      <c r="T116" s="162"/>
      <c r="X116" s="328"/>
      <c r="Y116" s="328"/>
      <c r="Z116" s="328"/>
      <c r="AA116" s="328"/>
      <c r="AB116" s="328"/>
      <c r="AC116" s="328"/>
      <c r="AD116" s="328"/>
      <c r="AE116" s="328"/>
      <c r="AF116" s="328"/>
      <c r="AG116" s="163"/>
      <c r="AH116" s="117"/>
    </row>
    <row r="117" spans="1:34">
      <c r="A117" s="117"/>
      <c r="B117" s="122"/>
      <c r="X117" s="328"/>
      <c r="Y117" s="328"/>
      <c r="Z117" s="328"/>
      <c r="AA117" s="328"/>
      <c r="AB117" s="328"/>
      <c r="AC117" s="328"/>
      <c r="AD117" s="328"/>
      <c r="AE117" s="328"/>
      <c r="AF117" s="328"/>
      <c r="AG117" s="163"/>
      <c r="AH117" s="117"/>
    </row>
    <row r="118" spans="1:34">
      <c r="A118" s="117"/>
      <c r="B118" s="122"/>
      <c r="O118" s="160"/>
      <c r="T118" s="162"/>
      <c r="X118" s="327"/>
      <c r="Y118" s="327"/>
      <c r="Z118" s="327"/>
      <c r="AA118" s="327"/>
      <c r="AB118" s="327"/>
      <c r="AC118" s="327"/>
      <c r="AD118" s="327"/>
      <c r="AE118" s="327"/>
      <c r="AF118" s="327"/>
      <c r="AG118" s="123"/>
      <c r="AH118" s="117"/>
    </row>
    <row r="119" spans="1:34">
      <c r="A119" s="117"/>
      <c r="B119" s="124"/>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6"/>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22.2"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4.95"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ht="17.7" hidden="1"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ht="17.7" hidden="1"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spans="1:34" ht="17.7" hidden="1"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17.7"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17.7"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s="205" customForma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s="205" customFormat="1" hidden="1"/>
    <row r="151" spans="1:34" s="205" customFormat="1" hidden="1"/>
    <row r="152" spans="1:34" s="205" customFormat="1" hidden="1"/>
    <row r="153" spans="1:34" s="205" customFormat="1" hidden="1"/>
  </sheetData>
  <sortState ref="R21:R28">
    <sortCondition ref="R21:R28"/>
  </sortState>
  <mergeCells count="7">
    <mergeCell ref="D90:E94"/>
    <mergeCell ref="B8:AG19"/>
    <mergeCell ref="X52:AF80"/>
    <mergeCell ref="X26:AF43"/>
    <mergeCell ref="D55:E57"/>
    <mergeCell ref="D29:E31"/>
    <mergeCell ref="X87:AF1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F15" sqref="F1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1927</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1927</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1927</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1927</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1927</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1927</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1927</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1927</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1927</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1927</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1927</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1927</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1927</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1927</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1927</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1927</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1927</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1927</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1927</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1927</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1927</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1927</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619</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619</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619</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619</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619</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619</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619</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619</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619</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619</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619</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619</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619</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619</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619</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619</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619</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619</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619</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619</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2.1 Em Teste</v>
      </c>
      <c r="H404" s="136" t="s">
        <v>1927</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45622</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45622</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1927</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45622</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45622</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1927</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2.1 Em Teste</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2.1 Em Teste</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2.1 Em Teste</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2.1 Em Teste</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2.1 Em Teste</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615</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2.1 Em Teste</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2.1 Em Teste</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2.1 Em Teste</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2.1 Em Teste</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2.1 Em Teste</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615</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2.1 Em Teste</v>
      </c>
      <c r="H466" s="136" t="s">
        <v>1927</v>
      </c>
      <c r="I466" s="143"/>
      <c r="J466" s="153" t="str">
        <f>IF(VLOOKUP(A466,'Aux - pivots1'!$A:$E,3,0)=0, "",VLOOKUP(A466,'Aux - pivots1'!$A:$E,3,0))</f>
        <v/>
      </c>
      <c r="K466" s="153" t="str">
        <f>IF(VLOOKUP(A466,'Aux - pivots1'!$A:$E,4,0)=0, "",VLOOKUP(A466,'Aux - pivots1'!$A:$E,4,0))</f>
        <v/>
      </c>
      <c r="L466" s="153">
        <f>IF(VLOOKUP(A466,'Aux - pivots1'!$A:$E,5,0)=0, "",VLOOKUP(A466,'Aux - pivots1'!$A:$E,5,0))</f>
        <v>45611</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2.1 Em Teste</v>
      </c>
      <c r="H467" s="136" t="s">
        <v>1927</v>
      </c>
      <c r="I467" s="143"/>
      <c r="J467" s="153" t="str">
        <f>IF(VLOOKUP(A467,'Aux - pivots1'!$A:$E,3,0)=0, "",VLOOKUP(A467,'Aux - pivots1'!$A:$E,3,0))</f>
        <v/>
      </c>
      <c r="K467" s="153" t="str">
        <f>IF(VLOOKUP(A467,'Aux - pivots1'!$A:$E,4,0)=0, "",VLOOKUP(A467,'Aux - pivots1'!$A:$E,4,0))</f>
        <v/>
      </c>
      <c r="L467" s="153">
        <f>IF(VLOOKUP(A467,'Aux - pivots1'!$A:$E,5,0)=0, "",VLOOKUP(A467,'Aux - pivots1'!$A:$E,5,0))</f>
        <v>45611</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2.1 Em Teste</v>
      </c>
      <c r="H468" s="136" t="s">
        <v>1927</v>
      </c>
      <c r="I468" s="143"/>
      <c r="J468" s="153" t="str">
        <f>IF(VLOOKUP(A468,'Aux - pivots1'!$A:$E,3,0)=0, "",VLOOKUP(A468,'Aux - pivots1'!$A:$E,3,0))</f>
        <v/>
      </c>
      <c r="K468" s="153" t="str">
        <f>IF(VLOOKUP(A468,'Aux - pivots1'!$A:$E,4,0)=0, "",VLOOKUP(A468,'Aux - pivots1'!$A:$E,4,0))</f>
        <v/>
      </c>
      <c r="L468" s="153">
        <f>IF(VLOOKUP(A468,'Aux - pivots1'!$A:$E,5,0)=0, "",VLOOKUP(A468,'Aux - pivots1'!$A:$E,5,0))</f>
        <v>45611</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2.1 Em Teste</v>
      </c>
      <c r="H469" s="136" t="s">
        <v>1927</v>
      </c>
      <c r="I469" s="143"/>
      <c r="J469" s="153" t="str">
        <f>IF(VLOOKUP(A469,'Aux - pivots1'!$A:$E,3,0)=0, "",VLOOKUP(A469,'Aux - pivots1'!$A:$E,3,0))</f>
        <v/>
      </c>
      <c r="K469" s="153" t="str">
        <f>IF(VLOOKUP(A469,'Aux - pivots1'!$A:$E,4,0)=0, "",VLOOKUP(A469,'Aux - pivots1'!$A:$E,4,0))</f>
        <v/>
      </c>
      <c r="L469" s="153">
        <f>IF(VLOOKUP(A469,'Aux - pivots1'!$A:$E,5,0)=0, "",VLOOKUP(A469,'Aux - pivots1'!$A:$E,5,0))</f>
        <v>45611</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2.1 Em Teste</v>
      </c>
      <c r="H470" s="136" t="s">
        <v>1927</v>
      </c>
      <c r="I470" s="143"/>
      <c r="J470" s="153" t="str">
        <f>IF(VLOOKUP(A470,'Aux - pivots1'!$A:$E,3,0)=0, "",VLOOKUP(A470,'Aux - pivots1'!$A:$E,3,0))</f>
        <v/>
      </c>
      <c r="K470" s="153" t="str">
        <f>IF(VLOOKUP(A470,'Aux - pivots1'!$A:$E,4,0)=0, "",VLOOKUP(A470,'Aux - pivots1'!$A:$E,4,0))</f>
        <v/>
      </c>
      <c r="L470" s="153">
        <f>IF(VLOOKUP(A470,'Aux - pivots1'!$A:$E,5,0)=0, "",VLOOKUP(A470,'Aux - pivots1'!$A:$E,5,0))</f>
        <v>45611</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2.1 Em Teste</v>
      </c>
      <c r="H471" s="136" t="s">
        <v>1927</v>
      </c>
      <c r="I471" s="143"/>
      <c r="J471" s="153" t="str">
        <f>IF(VLOOKUP(A471,'Aux - pivots1'!$A:$E,3,0)=0, "",VLOOKUP(A471,'Aux - pivots1'!$A:$E,3,0))</f>
        <v/>
      </c>
      <c r="K471" s="153" t="str">
        <f>IF(VLOOKUP(A471,'Aux - pivots1'!$A:$E,4,0)=0, "",VLOOKUP(A471,'Aux - pivots1'!$A:$E,4,0))</f>
        <v/>
      </c>
      <c r="L471" s="153">
        <f>IF(VLOOKUP(A471,'Aux - pivots1'!$A:$E,5,0)=0, "",VLOOKUP(A471,'Aux - pivots1'!$A:$E,5,0))</f>
        <v>45611</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2.1 Em Teste</v>
      </c>
      <c r="H479" s="136" t="s">
        <v>1927</v>
      </c>
      <c r="I479" s="143"/>
      <c r="J479" s="153">
        <f>IF(VLOOKUP(A479,'Aux - pivots1'!$A:$E,3,0)=0, "",VLOOKUP(A479,'Aux - pivots1'!$A:$E,3,0))</f>
        <v>45593</v>
      </c>
      <c r="K479" s="153">
        <f>IF(VLOOKUP(A479,'Aux - pivots1'!$A:$E,4,0)=0, "",VLOOKUP(A479,'Aux - pivots1'!$A:$E,4,0))</f>
        <v>45611</v>
      </c>
      <c r="L479" s="153">
        <f>IF(VLOOKUP(A479,'Aux - pivots1'!$A:$E,5,0)=0, "",VLOOKUP(A479,'Aux - pivots1'!$A:$E,5,0))</f>
        <v>374329</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2.1 Em Teste</v>
      </c>
      <c r="H480" s="136" t="s">
        <v>1927</v>
      </c>
      <c r="I480" s="143"/>
      <c r="J480" s="153">
        <f>IF(VLOOKUP(A480,'Aux - pivots1'!$A:$E,3,0)=0, "",VLOOKUP(A480,'Aux - pivots1'!$A:$E,3,0))</f>
        <v>45593</v>
      </c>
      <c r="K480" s="153">
        <f>IF(VLOOKUP(A480,'Aux - pivots1'!$A:$E,4,0)=0, "",VLOOKUP(A480,'Aux - pivots1'!$A:$E,4,0))</f>
        <v>45611</v>
      </c>
      <c r="L480" s="153">
        <f>IF(VLOOKUP(A480,'Aux - pivots1'!$A:$E,5,0)=0, "",VLOOKUP(A480,'Aux - pivots1'!$A:$E,5,0))</f>
        <v>374329</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2.1 Em Teste</v>
      </c>
      <c r="H481" s="136" t="s">
        <v>1927</v>
      </c>
      <c r="I481" s="143"/>
      <c r="J481" s="153">
        <f>IF(VLOOKUP(A481,'Aux - pivots1'!$A:$E,3,0)=0, "",VLOOKUP(A481,'Aux - pivots1'!$A:$E,3,0))</f>
        <v>45593</v>
      </c>
      <c r="K481" s="153">
        <f>IF(VLOOKUP(A481,'Aux - pivots1'!$A:$E,4,0)=0, "",VLOOKUP(A481,'Aux - pivots1'!$A:$E,4,0))</f>
        <v>45611</v>
      </c>
      <c r="L481" s="153">
        <f>IF(VLOOKUP(A481,'Aux - pivots1'!$A:$E,5,0)=0, "",VLOOKUP(A481,'Aux - pivots1'!$A:$E,5,0))</f>
        <v>374329</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1927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1927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1927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3. Pendente de outros desenvolvimentos</v>
      </c>
      <c r="H548" s="136" t="s">
        <v>1927</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1524.0287500000006</v>
      </c>
      <c r="L24" s="186">
        <f>L25+L40+L204+L371+L456</f>
        <v>192</v>
      </c>
      <c r="M24" s="181">
        <f>((M25*J25)+(M40*J40)+(M204*J204)+(M371*J371)+(M456*J456))/J24</f>
        <v>0.57885304659498205</v>
      </c>
      <c r="N24" s="181">
        <f>((N25*L25)+(N40*L40)+(N204*L204)+(N371*L371)+(N456*L456))/L24</f>
        <v>0.7033357326173223</v>
      </c>
      <c r="O24" s="181">
        <f t="shared" ref="O24:O87" si="15">N24-M24</f>
        <v>0.12448268602234025</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405.56250000000006</v>
      </c>
      <c r="L371" s="189">
        <f>ROUNDUP(K371/8,0)</f>
        <v>51</v>
      </c>
      <c r="M371" s="188">
        <f>SUMIFS(R371:ES371,$R$9:$ES$9,"S")/J371</f>
        <v>0.32500000000000001</v>
      </c>
      <c r="N371" s="188">
        <f>IFERROR(L371/J371,0)-15%</f>
        <v>0.36</v>
      </c>
      <c r="O371" s="188">
        <f t="shared" si="61"/>
        <v>3.4999999999999976E-2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45.062500000000007</v>
      </c>
      <c r="L455" s="190">
        <f>K455/8</f>
        <v>5.6328125000000009</v>
      </c>
      <c r="M455" s="184"/>
      <c r="N455" s="184">
        <f t="shared" si="72"/>
        <v>0.50925271931063643</v>
      </c>
      <c r="O455" s="184">
        <f t="shared" si="67"/>
        <v>0.50925271931063643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199.5968749999997</v>
      </c>
      <c r="L456" s="189">
        <f>ROUNDUP(K456/8,0)</f>
        <v>25</v>
      </c>
      <c r="M456" s="188">
        <f>SUMIFS(R456:ES456,$R$9:$ES$9,"S")/J456</f>
        <v>6.25E-2</v>
      </c>
      <c r="N456" s="188">
        <f>IFERROR(L456/J456,0)</f>
        <v>0.52083333333333337</v>
      </c>
      <c r="O456" s="188">
        <f t="shared" si="67"/>
        <v>0.45833333333333337</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2">
        <f>SUMIFS(Table1[Estimação (horas)],Table1[Tabela],Plano_V3!E493,Table1[Campo],Plano_V3!F493)</f>
        <v>4.0999999999999996</v>
      </c>
      <c r="J493" s="182">
        <f t="shared" si="73"/>
        <v>0.51249999999999996</v>
      </c>
      <c r="K493" s="182">
        <f>SUMIFS(Table1[Horas efetivas],Table1[Tabela],Plano_V3!E493,Table1[Campo],Plano_V3!F493)</f>
        <v>2.0499999999999998</v>
      </c>
      <c r="L493" s="182">
        <f t="shared" si="74"/>
        <v>0.25624999999999998</v>
      </c>
      <c r="M493" s="184"/>
      <c r="N493" s="184">
        <f t="shared" si="75"/>
        <v>0.5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2">
        <f>SUMIFS(Table1[Estimação (horas)],Table1[Tabela],Plano_V3!E494,Table1[Campo],Plano_V3!F494)</f>
        <v>4.0999999999999996</v>
      </c>
      <c r="J494" s="182">
        <f t="shared" si="73"/>
        <v>0.51249999999999996</v>
      </c>
      <c r="K494" s="182">
        <f>SUMIFS(Table1[Horas efetivas],Table1[Tabela],Plano_V3!E494,Table1[Campo],Plano_V3!F494)</f>
        <v>2.0499999999999998</v>
      </c>
      <c r="L494" s="182">
        <f t="shared" si="74"/>
        <v>0.25624999999999998</v>
      </c>
      <c r="M494" s="184"/>
      <c r="N494" s="184">
        <f t="shared" si="75"/>
        <v>0.5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2">
        <f>SUMIFS(Table1[Estimação (horas)],Table1[Tabela],Plano_V3!E495,Table1[Campo],Plano_V3!F495)</f>
        <v>4.0999999999999996</v>
      </c>
      <c r="J495" s="182">
        <f t="shared" si="73"/>
        <v>0.51249999999999996</v>
      </c>
      <c r="K495" s="182">
        <f>SUMIFS(Table1[Horas efetivas],Table1[Tabela],Plano_V3!E495,Table1[Campo],Plano_V3!F495)</f>
        <v>2.0499999999999998</v>
      </c>
      <c r="L495" s="182">
        <f t="shared" si="74"/>
        <v>0.25624999999999998</v>
      </c>
      <c r="M495" s="184"/>
      <c r="N495" s="184">
        <f t="shared" si="75"/>
        <v>0.5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2">
        <f>SUMIFS(Table1[Estimação (horas)],Table1[Tabela],Plano_V3!E496,Table1[Campo],Plano_V3!F496)</f>
        <v>4.0999999999999996</v>
      </c>
      <c r="J496" s="182">
        <f t="shared" si="73"/>
        <v>0.51249999999999996</v>
      </c>
      <c r="K496" s="182">
        <f>SUMIFS(Table1[Horas efetivas],Table1[Tabela],Plano_V3!E496,Table1[Campo],Plano_V3!F496)</f>
        <v>2.0499999999999998</v>
      </c>
      <c r="L496" s="182">
        <f t="shared" si="74"/>
        <v>0.25624999999999998</v>
      </c>
      <c r="M496" s="184"/>
      <c r="N496" s="184">
        <f t="shared" si="75"/>
        <v>0.5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2">
        <f>SUMIFS(Table1[Estimação (horas)],Table1[Tabela],Plano_V3!E497,Table1[Campo],Plano_V3!F497)</f>
        <v>4.0999999999999996</v>
      </c>
      <c r="J497" s="182">
        <f t="shared" si="73"/>
        <v>0.51249999999999996</v>
      </c>
      <c r="K497" s="182">
        <f>SUMIFS(Table1[Horas efetivas],Table1[Tabela],Plano_V3!E497,Table1[Campo],Plano_V3!F497)</f>
        <v>2.0499999999999998</v>
      </c>
      <c r="L497" s="182">
        <f t="shared" si="74"/>
        <v>0.25624999999999998</v>
      </c>
      <c r="M497" s="184"/>
      <c r="N497" s="184">
        <f t="shared" si="75"/>
        <v>0.5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2">
        <f>SUMIFS(Table1[Estimação (horas)],Table1[Tabela],Plano_V3!E498,Table1[Campo],Plano_V3!F498)</f>
        <v>4.0999999999999996</v>
      </c>
      <c r="J498" s="182">
        <f t="shared" si="73"/>
        <v>0.51249999999999996</v>
      </c>
      <c r="K498" s="182">
        <f>SUMIFS(Table1[Horas efetivas],Table1[Tabela],Plano_V3!E498,Table1[Campo],Plano_V3!F498)</f>
        <v>2.0499999999999998</v>
      </c>
      <c r="L498" s="182">
        <f t="shared" si="74"/>
        <v>0.25624999999999998</v>
      </c>
      <c r="M498" s="184"/>
      <c r="N498" s="184">
        <f t="shared" si="75"/>
        <v>0.5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2">
        <f>SUMIFS(Table1[Estimação (horas)],Table1[Tabela],Plano_V3!E506,Table1[Campo],Plano_V3!F506)</f>
        <v>4.0999999999999996</v>
      </c>
      <c r="J506" s="182">
        <f t="shared" si="73"/>
        <v>0.51249999999999996</v>
      </c>
      <c r="K506" s="182">
        <f>SUMIFS(Table1[Horas efetivas],Table1[Tabela],Plano_V3!E506,Table1[Campo],Plano_V3!F506)</f>
        <v>2.0499999999999998</v>
      </c>
      <c r="L506" s="182">
        <f t="shared" si="74"/>
        <v>0.25624999999999998</v>
      </c>
      <c r="M506" s="184"/>
      <c r="N506" s="184">
        <f t="shared" si="75"/>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2">
        <f>SUMIFS(Table1[Estimação (horas)],Table1[Tabela],Plano_V3!E507,Table1[Campo],Plano_V3!F507)</f>
        <v>4.0999999999999996</v>
      </c>
      <c r="J507" s="182">
        <f t="shared" si="73"/>
        <v>0.51249999999999996</v>
      </c>
      <c r="K507" s="182">
        <f>SUMIFS(Table1[Horas efetivas],Table1[Tabela],Plano_V3!E507,Table1[Campo],Plano_V3!F507)</f>
        <v>2.0499999999999998</v>
      </c>
      <c r="L507" s="182">
        <f t="shared" si="74"/>
        <v>0.25624999999999998</v>
      </c>
      <c r="M507" s="184"/>
      <c r="N507" s="184">
        <f t="shared" si="75"/>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2">
        <f>SUMIFS(Table1[Estimação (horas)],Table1[Tabela],Plano_V3!E508,Table1[Campo],Plano_V3!F508)</f>
        <v>4.0999999999999996</v>
      </c>
      <c r="J508" s="182">
        <f t="shared" si="73"/>
        <v>0.51249999999999996</v>
      </c>
      <c r="K508" s="182">
        <f>SUMIFS(Table1[Horas efetivas],Table1[Tabela],Plano_V3!E508,Table1[Campo],Plano_V3!F508)</f>
        <v>2.0499999999999998</v>
      </c>
      <c r="L508" s="182">
        <f t="shared" si="74"/>
        <v>0.25624999999999998</v>
      </c>
      <c r="M508" s="184"/>
      <c r="N508" s="184">
        <f t="shared" si="75"/>
        <v>0.5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21.721874999999965</v>
      </c>
      <c r="L592" s="182">
        <f>K592/8</f>
        <v>2.7152343749999956</v>
      </c>
      <c r="M592" s="184"/>
      <c r="N592" s="184">
        <f t="shared" si="82"/>
        <v>0.54118654624727192</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226.85</v>
      </c>
      <c r="M594" s="181">
        <f>((M24*J24)+(M19*J19)+(M14*J14))/J594</f>
        <v>0.62261146496815289</v>
      </c>
      <c r="N594" s="181">
        <f>((N24*L24)+(N19*L19)+(N14*L14))/L594</f>
        <v>0.74825638378896142</v>
      </c>
      <c r="O594" s="181">
        <f t="shared" ref="O594" si="85">N594-M594</f>
        <v>0.12564491882080853</v>
      </c>
      <c r="P594" s="183" t="s">
        <v>25</v>
      </c>
    </row>
    <row r="595" spans="2:51">
      <c r="O595"/>
    </row>
    <row r="596" spans="2:51"/>
  </sheetData>
  <conditionalFormatting sqref="O14:O17 O19:O22 O594">
    <cfRule type="cellIs" dxfId="134" priority="23" operator="lessThan">
      <formula>0</formula>
    </cfRule>
    <cfRule type="cellIs" dxfId="133" priority="24" operator="greaterThanOrEqual">
      <formula>0</formula>
    </cfRule>
  </conditionalFormatting>
  <conditionalFormatting sqref="O24:O592">
    <cfRule type="cellIs" dxfId="132" priority="1" operator="lessThan">
      <formula>0</formula>
    </cfRule>
    <cfRule type="cellIs" dxfId="131" priority="2" operator="greaterThanOrEqual">
      <formula>0</formula>
    </cfRule>
  </conditionalFormatting>
  <conditionalFormatting sqref="Q15:Q17">
    <cfRule type="cellIs" dxfId="130" priority="50" operator="notEqual">
      <formula>0</formula>
    </cfRule>
  </conditionalFormatting>
  <conditionalFormatting sqref="Q20:Q22">
    <cfRule type="cellIs" dxfId="129" priority="42" operator="notEqual">
      <formula>0</formula>
    </cfRule>
  </conditionalFormatting>
  <conditionalFormatting sqref="Q25:Q456">
    <cfRule type="cellIs" dxfId="128" priority="5" operator="notEqual">
      <formula>0</formula>
    </cfRule>
  </conditionalFormatting>
  <conditionalFormatting sqref="R5:R6 S6:ES6">
    <cfRule type="cellIs" dxfId="127" priority="51" operator="notEqual">
      <formula>0</formula>
    </cfRule>
  </conditionalFormatting>
  <conditionalFormatting sqref="R15:ES17 R20:ES22 R25:ES25">
    <cfRule type="cellIs" dxfId="126" priority="49" operator="greaterThan">
      <formula>0</formula>
    </cfRule>
  </conditionalFormatting>
  <conditionalFormatting sqref="R40:ES40">
    <cfRule type="cellIs" dxfId="125" priority="47" operator="greaterThan">
      <formula>0</formula>
    </cfRule>
  </conditionalFormatting>
  <conditionalFormatting sqref="R204:ES204">
    <cfRule type="cellIs" dxfId="124" priority="46" operator="greaterThan">
      <formula>0</formula>
    </cfRule>
  </conditionalFormatting>
  <conditionalFormatting sqref="R371:ES371">
    <cfRule type="cellIs" dxfId="123" priority="45" operator="greaterThan">
      <formula>0</formula>
    </cfRule>
  </conditionalFormatting>
  <conditionalFormatting sqref="R456:ES456">
    <cfRule type="cellIs" dxfId="12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6">
        <v>7</v>
      </c>
      <c r="C4" s="175">
        <v>45510</v>
      </c>
      <c r="D4" s="175">
        <v>45624</v>
      </c>
      <c r="E4" s="286"/>
    </row>
    <row r="5" spans="1:5">
      <c r="A5" t="s">
        <v>680</v>
      </c>
      <c r="B5" s="286">
        <v>7</v>
      </c>
      <c r="C5" s="175">
        <v>45510</v>
      </c>
      <c r="D5" s="175">
        <v>45624</v>
      </c>
      <c r="E5" s="286"/>
    </row>
    <row r="6" spans="1:5">
      <c r="A6" t="s">
        <v>681</v>
      </c>
      <c r="B6" s="286">
        <v>7</v>
      </c>
      <c r="C6" s="175">
        <v>45510</v>
      </c>
      <c r="D6" s="175">
        <v>45624</v>
      </c>
      <c r="E6" s="286"/>
    </row>
    <row r="7" spans="1:5">
      <c r="A7" t="s">
        <v>682</v>
      </c>
      <c r="B7" s="286">
        <v>7</v>
      </c>
      <c r="C7" s="175">
        <v>45510</v>
      </c>
      <c r="D7" s="175">
        <v>45624</v>
      </c>
      <c r="E7" s="286"/>
    </row>
    <row r="8" spans="1:5">
      <c r="A8" t="s">
        <v>683</v>
      </c>
      <c r="B8" s="286">
        <v>7</v>
      </c>
      <c r="C8" s="175">
        <v>45510</v>
      </c>
      <c r="D8" s="175">
        <v>45624</v>
      </c>
      <c r="E8" s="286"/>
    </row>
    <row r="9" spans="1:5">
      <c r="A9" t="s">
        <v>684</v>
      </c>
      <c r="B9" s="286">
        <v>7</v>
      </c>
      <c r="C9" s="175">
        <v>45510</v>
      </c>
      <c r="D9" s="175">
        <v>45624</v>
      </c>
      <c r="E9" s="286"/>
    </row>
    <row r="10" spans="1:5">
      <c r="A10" t="s">
        <v>685</v>
      </c>
      <c r="B10" s="286">
        <v>7</v>
      </c>
      <c r="C10" s="175">
        <v>45510</v>
      </c>
      <c r="D10" s="175">
        <v>45624</v>
      </c>
      <c r="E10" s="286"/>
    </row>
    <row r="11" spans="1:5">
      <c r="A11" t="s">
        <v>686</v>
      </c>
      <c r="B11" s="286">
        <v>7</v>
      </c>
      <c r="C11" s="175">
        <v>45510</v>
      </c>
      <c r="D11" s="175">
        <v>45624</v>
      </c>
      <c r="E11" s="286"/>
    </row>
    <row r="12" spans="1:5">
      <c r="A12" t="s">
        <v>687</v>
      </c>
      <c r="B12" s="286">
        <v>7</v>
      </c>
      <c r="C12" s="175">
        <v>45510</v>
      </c>
      <c r="D12" s="175">
        <v>45624</v>
      </c>
      <c r="E12" s="286"/>
    </row>
    <row r="13" spans="1:5">
      <c r="A13" t="s">
        <v>688</v>
      </c>
      <c r="B13" s="286">
        <v>7</v>
      </c>
      <c r="C13" s="175">
        <v>45510</v>
      </c>
      <c r="D13" s="175">
        <v>45624</v>
      </c>
      <c r="E13" s="286"/>
    </row>
    <row r="14" spans="1:5">
      <c r="A14" t="s">
        <v>689</v>
      </c>
      <c r="B14" s="286">
        <v>7</v>
      </c>
      <c r="C14" s="175">
        <v>45510</v>
      </c>
      <c r="D14" s="175">
        <v>45624</v>
      </c>
      <c r="E14" s="286"/>
    </row>
    <row r="15" spans="1:5">
      <c r="A15" t="s">
        <v>690</v>
      </c>
      <c r="B15" s="286">
        <v>7</v>
      </c>
      <c r="C15" s="175">
        <v>45510</v>
      </c>
      <c r="D15" s="175">
        <v>45624</v>
      </c>
      <c r="E15" s="286"/>
    </row>
    <row r="16" spans="1:5">
      <c r="A16" t="s">
        <v>691</v>
      </c>
      <c r="B16" s="286">
        <v>7</v>
      </c>
      <c r="C16" s="175">
        <v>45510</v>
      </c>
      <c r="D16" s="175">
        <v>45624</v>
      </c>
      <c r="E16" s="286"/>
    </row>
    <row r="17" spans="1:5">
      <c r="A17" t="s">
        <v>692</v>
      </c>
      <c r="B17" s="286">
        <v>1</v>
      </c>
      <c r="C17" s="286"/>
      <c r="D17" s="286"/>
      <c r="E17" s="286"/>
    </row>
    <row r="18" spans="1:5">
      <c r="A18" t="s">
        <v>693</v>
      </c>
      <c r="B18" s="286">
        <v>1</v>
      </c>
      <c r="C18" s="286"/>
      <c r="D18" s="286"/>
      <c r="E18" s="286"/>
    </row>
    <row r="19" spans="1:5">
      <c r="A19" t="s">
        <v>694</v>
      </c>
      <c r="B19" s="286">
        <v>1</v>
      </c>
      <c r="C19" s="286"/>
      <c r="D19" s="286"/>
      <c r="E19" s="286"/>
    </row>
    <row r="20" spans="1:5">
      <c r="A20" t="s">
        <v>695</v>
      </c>
      <c r="B20" s="286">
        <v>1</v>
      </c>
      <c r="C20" s="286"/>
      <c r="D20" s="286"/>
      <c r="E20" s="286"/>
    </row>
    <row r="21" spans="1:5">
      <c r="A21" t="s">
        <v>696</v>
      </c>
      <c r="B21" s="286">
        <v>1</v>
      </c>
      <c r="C21" s="286"/>
      <c r="D21" s="286"/>
      <c r="E21" s="286"/>
    </row>
    <row r="22" spans="1:5">
      <c r="A22" t="s">
        <v>697</v>
      </c>
      <c r="B22" s="286">
        <v>1</v>
      </c>
      <c r="C22" s="286"/>
      <c r="D22" s="286"/>
      <c r="E22" s="286"/>
    </row>
    <row r="23" spans="1:5">
      <c r="A23" t="s">
        <v>698</v>
      </c>
      <c r="B23" s="286">
        <v>1</v>
      </c>
      <c r="C23" s="286"/>
      <c r="D23" s="286"/>
      <c r="E23" s="286"/>
    </row>
    <row r="24" spans="1:5">
      <c r="A24" t="s">
        <v>699</v>
      </c>
      <c r="B24" s="286">
        <v>1</v>
      </c>
      <c r="C24" s="286"/>
      <c r="D24" s="286"/>
      <c r="E24" s="286"/>
    </row>
    <row r="25" spans="1:5">
      <c r="A25" t="s">
        <v>700</v>
      </c>
      <c r="B25" s="286">
        <v>6</v>
      </c>
      <c r="C25" s="175">
        <v>45618</v>
      </c>
      <c r="D25" s="286"/>
      <c r="E25" s="286"/>
    </row>
    <row r="26" spans="1:5">
      <c r="A26" t="s">
        <v>701</v>
      </c>
      <c r="B26" s="286">
        <v>6</v>
      </c>
      <c r="C26" s="175">
        <v>45618</v>
      </c>
      <c r="D26" s="286"/>
      <c r="E26" s="286"/>
    </row>
    <row r="27" spans="1:5">
      <c r="A27" t="s">
        <v>702</v>
      </c>
      <c r="B27" s="286">
        <v>1</v>
      </c>
      <c r="C27" s="286"/>
      <c r="D27" s="286"/>
      <c r="E27" s="286"/>
    </row>
    <row r="28" spans="1:5">
      <c r="A28" t="s">
        <v>703</v>
      </c>
      <c r="B28" s="286">
        <v>6</v>
      </c>
      <c r="C28" s="175">
        <v>45618</v>
      </c>
      <c r="D28" s="286"/>
      <c r="E28" s="286"/>
    </row>
    <row r="29" spans="1:5">
      <c r="A29" t="s">
        <v>704</v>
      </c>
      <c r="B29" s="286">
        <v>1</v>
      </c>
      <c r="C29" s="286"/>
      <c r="D29" s="286"/>
      <c r="E29" s="286"/>
    </row>
    <row r="30" spans="1:5">
      <c r="A30" t="s">
        <v>705</v>
      </c>
      <c r="B30" s="286">
        <v>1</v>
      </c>
      <c r="C30" s="286"/>
      <c r="D30" s="286"/>
      <c r="E30" s="286"/>
    </row>
    <row r="31" spans="1:5">
      <c r="A31" t="s">
        <v>706</v>
      </c>
      <c r="B31" s="286">
        <v>1</v>
      </c>
      <c r="C31" s="286"/>
      <c r="D31" s="286"/>
      <c r="E31" s="286"/>
    </row>
    <row r="32" spans="1:5">
      <c r="A32" t="s">
        <v>707</v>
      </c>
      <c r="B32" s="286">
        <v>1</v>
      </c>
      <c r="C32" s="286"/>
      <c r="D32" s="286"/>
      <c r="E32" s="286"/>
    </row>
    <row r="33" spans="1:5">
      <c r="A33" t="s">
        <v>708</v>
      </c>
      <c r="B33" s="286">
        <v>1</v>
      </c>
      <c r="C33" s="286"/>
      <c r="D33" s="286"/>
      <c r="E33" s="286"/>
    </row>
    <row r="34" spans="1:5">
      <c r="A34" t="s">
        <v>709</v>
      </c>
      <c r="B34" s="286">
        <v>1</v>
      </c>
      <c r="C34" s="286"/>
      <c r="D34" s="286"/>
      <c r="E34" s="286"/>
    </row>
    <row r="35" spans="1:5">
      <c r="A35" t="s">
        <v>710</v>
      </c>
      <c r="B35" s="286">
        <v>1</v>
      </c>
      <c r="C35" s="175">
        <v>45583</v>
      </c>
      <c r="D35" s="175">
        <v>45589</v>
      </c>
      <c r="E35" s="175">
        <v>45589</v>
      </c>
    </row>
    <row r="36" spans="1:5">
      <c r="A36" t="s">
        <v>711</v>
      </c>
      <c r="B36" s="286">
        <v>2</v>
      </c>
      <c r="C36" s="175">
        <v>45593</v>
      </c>
      <c r="D36" s="175">
        <v>45611</v>
      </c>
      <c r="E36" s="175">
        <v>374329</v>
      </c>
    </row>
    <row r="37" spans="1:5">
      <c r="A37" t="s">
        <v>712</v>
      </c>
      <c r="B37" s="286">
        <v>2</v>
      </c>
      <c r="C37" s="175">
        <v>45593</v>
      </c>
      <c r="D37" s="175">
        <v>45611</v>
      </c>
      <c r="E37" s="175">
        <v>374329</v>
      </c>
    </row>
    <row r="38" spans="1:5">
      <c r="A38" t="s">
        <v>713</v>
      </c>
      <c r="B38" s="286">
        <v>2</v>
      </c>
      <c r="C38" s="175">
        <v>45593</v>
      </c>
      <c r="D38" s="175">
        <v>45611</v>
      </c>
      <c r="E38" s="175">
        <v>374329</v>
      </c>
    </row>
    <row r="39" spans="1:5">
      <c r="A39" t="s">
        <v>714</v>
      </c>
      <c r="B39" s="286">
        <v>1</v>
      </c>
      <c r="C39" s="286"/>
      <c r="D39" s="286"/>
      <c r="E39" s="286"/>
    </row>
    <row r="40" spans="1:5">
      <c r="A40" t="s">
        <v>715</v>
      </c>
      <c r="B40" s="286">
        <v>1</v>
      </c>
      <c r="C40" s="286"/>
      <c r="D40" s="286"/>
      <c r="E40" s="286"/>
    </row>
    <row r="41" spans="1:5">
      <c r="A41" t="s">
        <v>716</v>
      </c>
      <c r="B41" s="286">
        <v>1</v>
      </c>
      <c r="C41" s="286"/>
      <c r="D41" s="286"/>
      <c r="E41" s="286"/>
    </row>
    <row r="42" spans="1:5">
      <c r="A42" t="s">
        <v>717</v>
      </c>
      <c r="B42" s="286">
        <v>7</v>
      </c>
      <c r="C42" s="175">
        <v>45595</v>
      </c>
      <c r="D42" s="175">
        <v>374342</v>
      </c>
      <c r="E42" s="286"/>
    </row>
    <row r="43" spans="1:5">
      <c r="A43" t="s">
        <v>718</v>
      </c>
      <c r="B43" s="286">
        <v>2</v>
      </c>
      <c r="C43" s="175">
        <v>45595</v>
      </c>
      <c r="D43" s="175">
        <v>374329</v>
      </c>
      <c r="E43" s="175">
        <v>374329</v>
      </c>
    </row>
    <row r="44" spans="1:5">
      <c r="A44" t="s">
        <v>719</v>
      </c>
      <c r="B44" s="286">
        <v>2</v>
      </c>
      <c r="C44" s="175">
        <v>45593</v>
      </c>
      <c r="D44" s="175">
        <v>45611</v>
      </c>
      <c r="E44" s="175">
        <v>374329</v>
      </c>
    </row>
    <row r="45" spans="1:5">
      <c r="A45" t="s">
        <v>720</v>
      </c>
      <c r="B45" s="286">
        <v>1</v>
      </c>
      <c r="C45" s="286"/>
      <c r="D45" s="286"/>
      <c r="E45" s="286"/>
    </row>
    <row r="46" spans="1:5">
      <c r="A46" t="s">
        <v>721</v>
      </c>
      <c r="B46" s="286">
        <v>1</v>
      </c>
      <c r="C46" s="286"/>
      <c r="D46" s="286"/>
      <c r="E46" s="286"/>
    </row>
    <row r="47" spans="1:5">
      <c r="A47" t="s">
        <v>722</v>
      </c>
      <c r="B47" s="286">
        <v>1</v>
      </c>
      <c r="C47" s="286"/>
      <c r="D47" s="286"/>
      <c r="E47" s="286"/>
    </row>
    <row r="48" spans="1:5">
      <c r="A48" t="s">
        <v>723</v>
      </c>
      <c r="B48" s="286">
        <v>2</v>
      </c>
      <c r="C48" s="286"/>
      <c r="D48" s="175">
        <v>45621</v>
      </c>
      <c r="E48" s="175">
        <v>45596</v>
      </c>
    </row>
    <row r="49" spans="1:5">
      <c r="A49" t="s">
        <v>724</v>
      </c>
      <c r="B49" s="286">
        <v>2</v>
      </c>
      <c r="C49" s="286"/>
      <c r="D49" s="175">
        <v>45621</v>
      </c>
      <c r="E49" s="175">
        <v>45596</v>
      </c>
    </row>
    <row r="50" spans="1:5">
      <c r="A50" t="s">
        <v>725</v>
      </c>
      <c r="B50" s="286">
        <v>2</v>
      </c>
      <c r="C50" s="286"/>
      <c r="D50" s="175">
        <v>45621</v>
      </c>
      <c r="E50" s="175">
        <v>45596</v>
      </c>
    </row>
    <row r="51" spans="1:5">
      <c r="A51" t="s">
        <v>726</v>
      </c>
      <c r="B51" s="286">
        <v>1</v>
      </c>
      <c r="C51" s="286"/>
      <c r="D51" s="286"/>
      <c r="E51" s="286"/>
    </row>
    <row r="52" spans="1:5">
      <c r="A52" t="s">
        <v>727</v>
      </c>
      <c r="B52" s="286">
        <v>1</v>
      </c>
      <c r="C52" s="286"/>
      <c r="D52" s="286"/>
      <c r="E52" s="286"/>
    </row>
    <row r="53" spans="1:5">
      <c r="A53" t="s">
        <v>728</v>
      </c>
      <c r="B53" s="286">
        <v>1</v>
      </c>
      <c r="C53" s="286"/>
      <c r="D53" s="286"/>
      <c r="E53" s="286"/>
    </row>
    <row r="54" spans="1:5">
      <c r="A54" t="s">
        <v>729</v>
      </c>
      <c r="B54" s="286">
        <v>1</v>
      </c>
      <c r="C54" s="286"/>
      <c r="D54" s="286"/>
      <c r="E54" s="286"/>
    </row>
    <row r="55" spans="1:5">
      <c r="A55" t="s">
        <v>730</v>
      </c>
      <c r="B55" s="286">
        <v>2</v>
      </c>
      <c r="C55" s="286"/>
      <c r="D55" s="175">
        <v>45614</v>
      </c>
      <c r="E55" s="175">
        <v>45596</v>
      </c>
    </row>
    <row r="56" spans="1:5">
      <c r="A56" t="s">
        <v>731</v>
      </c>
      <c r="B56" s="286">
        <v>2</v>
      </c>
      <c r="C56" s="286"/>
      <c r="D56" s="175">
        <v>45614</v>
      </c>
      <c r="E56" s="175">
        <v>45596</v>
      </c>
    </row>
    <row r="57" spans="1:5">
      <c r="A57" t="s">
        <v>732</v>
      </c>
      <c r="B57" s="286">
        <v>2</v>
      </c>
      <c r="C57" s="286"/>
      <c r="D57" s="175">
        <v>45614</v>
      </c>
      <c r="E57" s="175">
        <v>45596</v>
      </c>
    </row>
    <row r="58" spans="1:5">
      <c r="A58" t="s">
        <v>733</v>
      </c>
      <c r="B58" s="286">
        <v>2</v>
      </c>
      <c r="C58" s="286"/>
      <c r="D58" s="175">
        <v>45614</v>
      </c>
      <c r="E58" s="175">
        <v>45596</v>
      </c>
    </row>
    <row r="59" spans="1:5">
      <c r="A59" t="s">
        <v>734</v>
      </c>
      <c r="B59" s="286">
        <v>1</v>
      </c>
      <c r="C59" s="286"/>
      <c r="D59" s="286"/>
      <c r="E59" s="286"/>
    </row>
    <row r="60" spans="1:5">
      <c r="A60" t="s">
        <v>735</v>
      </c>
      <c r="B60" s="286">
        <v>1</v>
      </c>
      <c r="C60" s="286"/>
      <c r="D60" s="286"/>
      <c r="E60" s="286"/>
    </row>
    <row r="61" spans="1:5">
      <c r="A61" t="s">
        <v>736</v>
      </c>
      <c r="B61" s="286">
        <v>2</v>
      </c>
      <c r="C61" s="175">
        <v>45583</v>
      </c>
      <c r="D61" s="175">
        <v>45611</v>
      </c>
      <c r="E61" s="175">
        <v>45611</v>
      </c>
    </row>
    <row r="62" spans="1:5">
      <c r="A62" t="s">
        <v>737</v>
      </c>
      <c r="B62" s="286">
        <v>4</v>
      </c>
      <c r="C62" s="175">
        <v>45589</v>
      </c>
      <c r="D62" s="286"/>
      <c r="E62" s="175">
        <v>45596</v>
      </c>
    </row>
    <row r="63" spans="1:5">
      <c r="A63" t="s">
        <v>738</v>
      </c>
      <c r="B63" s="286">
        <v>4</v>
      </c>
      <c r="C63" s="175">
        <v>45589</v>
      </c>
      <c r="D63" s="286"/>
      <c r="E63" s="175">
        <v>45596</v>
      </c>
    </row>
    <row r="64" spans="1:5">
      <c r="A64" t="s">
        <v>739</v>
      </c>
      <c r="B64" s="286">
        <v>2</v>
      </c>
      <c r="C64" s="286"/>
      <c r="D64" s="175">
        <v>45614</v>
      </c>
      <c r="E64" s="175">
        <v>45596</v>
      </c>
    </row>
    <row r="65" spans="1:5">
      <c r="A65" t="s">
        <v>740</v>
      </c>
      <c r="B65" s="286">
        <v>2</v>
      </c>
      <c r="C65" s="175">
        <v>45589</v>
      </c>
      <c r="D65" s="286"/>
      <c r="E65" s="175">
        <v>45596</v>
      </c>
    </row>
    <row r="66" spans="1:5">
      <c r="A66" t="s">
        <v>741</v>
      </c>
      <c r="B66" s="286">
        <v>2</v>
      </c>
      <c r="C66" s="175">
        <v>45589</v>
      </c>
      <c r="D66" s="175">
        <v>45611</v>
      </c>
      <c r="E66" s="175">
        <v>45611</v>
      </c>
    </row>
    <row r="67" spans="1:5">
      <c r="A67" t="s">
        <v>742</v>
      </c>
      <c r="B67" s="286">
        <v>2</v>
      </c>
      <c r="C67" s="175">
        <v>45593</v>
      </c>
      <c r="D67" s="175">
        <v>45611</v>
      </c>
      <c r="E67" s="175">
        <v>45611</v>
      </c>
    </row>
    <row r="68" spans="1:5">
      <c r="A68" t="s">
        <v>743</v>
      </c>
      <c r="B68" s="286">
        <v>4</v>
      </c>
      <c r="C68" s="175">
        <v>45589</v>
      </c>
      <c r="D68" s="286"/>
      <c r="E68" s="175">
        <v>45596</v>
      </c>
    </row>
    <row r="69" spans="1:5">
      <c r="A69" t="s">
        <v>744</v>
      </c>
      <c r="B69" s="286">
        <v>4</v>
      </c>
      <c r="C69" s="175">
        <v>45589</v>
      </c>
      <c r="D69" s="286"/>
      <c r="E69" s="175">
        <v>45596</v>
      </c>
    </row>
    <row r="70" spans="1:5">
      <c r="A70" t="s">
        <v>745</v>
      </c>
      <c r="B70" s="286">
        <v>4</v>
      </c>
      <c r="C70" s="175">
        <v>45589</v>
      </c>
      <c r="D70" s="286"/>
      <c r="E70" s="175">
        <v>45596</v>
      </c>
    </row>
    <row r="71" spans="1:5">
      <c r="A71" t="s">
        <v>746</v>
      </c>
      <c r="B71" s="286">
        <v>1</v>
      </c>
      <c r="C71" s="286"/>
      <c r="D71" s="286"/>
      <c r="E71" s="286"/>
    </row>
    <row r="72" spans="1:5">
      <c r="A72" t="s">
        <v>747</v>
      </c>
      <c r="B72" s="286">
        <v>1</v>
      </c>
      <c r="C72" s="286"/>
      <c r="D72" s="286"/>
      <c r="E72" s="286"/>
    </row>
    <row r="73" spans="1:5">
      <c r="A73" t="s">
        <v>748</v>
      </c>
      <c r="B73" s="286">
        <v>2</v>
      </c>
      <c r="C73" s="175">
        <v>45593</v>
      </c>
      <c r="D73" s="175">
        <v>45611</v>
      </c>
      <c r="E73" s="175">
        <v>45611</v>
      </c>
    </row>
    <row r="74" spans="1:5">
      <c r="A74" t="s">
        <v>749</v>
      </c>
      <c r="B74" s="286">
        <v>2</v>
      </c>
      <c r="C74" s="175">
        <v>45589</v>
      </c>
      <c r="D74" s="286"/>
      <c r="E74" s="175">
        <v>45611</v>
      </c>
    </row>
    <row r="75" spans="1:5">
      <c r="A75" t="s">
        <v>750</v>
      </c>
      <c r="B75" s="286">
        <v>1</v>
      </c>
      <c r="C75" s="286"/>
      <c r="D75" s="286"/>
      <c r="E75" s="286"/>
    </row>
    <row r="76" spans="1:5">
      <c r="A76" t="s">
        <v>751</v>
      </c>
      <c r="B76" s="286">
        <v>2</v>
      </c>
      <c r="C76" s="175">
        <v>45583</v>
      </c>
      <c r="D76" s="286"/>
      <c r="E76" s="175">
        <v>45596</v>
      </c>
    </row>
    <row r="77" spans="1:5">
      <c r="A77" t="s">
        <v>752</v>
      </c>
      <c r="B77" s="286">
        <v>1</v>
      </c>
      <c r="C77" s="175">
        <v>45589</v>
      </c>
      <c r="D77" s="175">
        <v>45596</v>
      </c>
      <c r="E77" s="175">
        <v>45596</v>
      </c>
    </row>
    <row r="78" spans="1:5">
      <c r="A78" t="s">
        <v>753</v>
      </c>
      <c r="B78" s="286">
        <v>2</v>
      </c>
      <c r="C78" s="286"/>
      <c r="D78" s="175">
        <v>45611</v>
      </c>
      <c r="E78" s="175">
        <v>45611</v>
      </c>
    </row>
    <row r="79" spans="1:5">
      <c r="A79" t="s">
        <v>754</v>
      </c>
      <c r="B79" s="286">
        <v>2</v>
      </c>
      <c r="C79" s="286"/>
      <c r="D79" s="175">
        <v>45614</v>
      </c>
      <c r="E79" s="175">
        <v>45596</v>
      </c>
    </row>
    <row r="80" spans="1:5">
      <c r="A80" t="s">
        <v>755</v>
      </c>
      <c r="B80" s="286">
        <v>2</v>
      </c>
      <c r="C80" s="286"/>
      <c r="D80" s="175">
        <v>45614</v>
      </c>
      <c r="E80" s="175">
        <v>45596</v>
      </c>
    </row>
    <row r="81" spans="1:5">
      <c r="A81" t="s">
        <v>756</v>
      </c>
      <c r="B81" s="286">
        <v>2</v>
      </c>
      <c r="C81" s="286"/>
      <c r="D81" s="175">
        <v>45614</v>
      </c>
      <c r="E81" s="175">
        <v>45596</v>
      </c>
    </row>
    <row r="82" spans="1:5">
      <c r="A82" t="s">
        <v>757</v>
      </c>
      <c r="B82" s="286">
        <v>2</v>
      </c>
      <c r="C82" s="286"/>
      <c r="D82" s="175">
        <v>45614</v>
      </c>
      <c r="E82" s="175">
        <v>45596</v>
      </c>
    </row>
    <row r="83" spans="1:5">
      <c r="A83" t="s">
        <v>758</v>
      </c>
      <c r="B83" s="286">
        <v>2</v>
      </c>
      <c r="C83" s="286"/>
      <c r="D83" s="175">
        <v>45614</v>
      </c>
      <c r="E83" s="175">
        <v>45596</v>
      </c>
    </row>
    <row r="84" spans="1:5">
      <c r="A84" t="s">
        <v>759</v>
      </c>
      <c r="B84" s="286">
        <v>1</v>
      </c>
      <c r="C84" s="286"/>
      <c r="D84" s="286"/>
      <c r="E84" s="286"/>
    </row>
    <row r="85" spans="1:5">
      <c r="A85" t="s">
        <v>760</v>
      </c>
      <c r="B85" s="286">
        <v>7</v>
      </c>
      <c r="C85" s="175">
        <v>45593</v>
      </c>
      <c r="D85" s="175">
        <v>45624</v>
      </c>
      <c r="E85" s="286"/>
    </row>
    <row r="86" spans="1:5">
      <c r="A86" t="s">
        <v>761</v>
      </c>
      <c r="B86" s="286">
        <v>2</v>
      </c>
      <c r="C86" s="286"/>
      <c r="D86" s="175">
        <v>45614</v>
      </c>
      <c r="E86" s="175">
        <v>45596</v>
      </c>
    </row>
    <row r="87" spans="1:5">
      <c r="A87" t="s">
        <v>762</v>
      </c>
      <c r="B87" s="286">
        <v>2</v>
      </c>
      <c r="C87" s="175">
        <v>45583</v>
      </c>
      <c r="D87" s="175">
        <v>45614</v>
      </c>
      <c r="E87" s="175">
        <v>45596</v>
      </c>
    </row>
    <row r="88" spans="1:5">
      <c r="A88" t="s">
        <v>763</v>
      </c>
      <c r="B88" s="286">
        <v>2</v>
      </c>
      <c r="C88" s="286"/>
      <c r="D88" s="175">
        <v>45614</v>
      </c>
      <c r="E88" s="175">
        <v>45596</v>
      </c>
    </row>
    <row r="89" spans="1:5">
      <c r="A89" t="s">
        <v>764</v>
      </c>
      <c r="B89" s="286">
        <v>2</v>
      </c>
      <c r="C89" s="286"/>
      <c r="D89" s="175">
        <v>45614</v>
      </c>
      <c r="E89" s="175">
        <v>45596</v>
      </c>
    </row>
    <row r="90" spans="1:5">
      <c r="A90" t="s">
        <v>765</v>
      </c>
      <c r="B90" s="286">
        <v>1</v>
      </c>
      <c r="C90" s="286"/>
      <c r="D90" s="286"/>
      <c r="E90" s="286"/>
    </row>
    <row r="91" spans="1:5">
      <c r="A91" t="s">
        <v>766</v>
      </c>
      <c r="B91" s="286">
        <v>1</v>
      </c>
      <c r="C91" s="286"/>
      <c r="D91" s="286"/>
      <c r="E91" s="286"/>
    </row>
    <row r="92" spans="1:5">
      <c r="A92" t="s">
        <v>767</v>
      </c>
      <c r="B92" s="286">
        <v>2</v>
      </c>
      <c r="C92" s="286"/>
      <c r="D92" s="286"/>
      <c r="E92" s="175">
        <v>45611</v>
      </c>
    </row>
    <row r="93" spans="1:5">
      <c r="A93" t="s">
        <v>768</v>
      </c>
      <c r="B93" s="286">
        <v>2</v>
      </c>
      <c r="C93" s="286"/>
      <c r="D93" s="286"/>
      <c r="E93" s="175">
        <v>45611</v>
      </c>
    </row>
    <row r="94" spans="1:5">
      <c r="A94" t="s">
        <v>769</v>
      </c>
      <c r="B94" s="286">
        <v>2</v>
      </c>
      <c r="C94" s="286"/>
      <c r="D94" s="286"/>
      <c r="E94" s="175">
        <v>45611</v>
      </c>
    </row>
    <row r="95" spans="1:5">
      <c r="A95" t="s">
        <v>770</v>
      </c>
      <c r="B95" s="286">
        <v>2</v>
      </c>
      <c r="C95" s="175">
        <v>45583</v>
      </c>
      <c r="D95" s="175">
        <v>45596</v>
      </c>
      <c r="E95" s="175">
        <v>45596</v>
      </c>
    </row>
    <row r="96" spans="1:5">
      <c r="A96" t="s">
        <v>771</v>
      </c>
      <c r="B96" s="286">
        <v>2</v>
      </c>
      <c r="C96" s="175">
        <v>45583</v>
      </c>
      <c r="D96" s="175">
        <v>45596</v>
      </c>
      <c r="E96" s="175">
        <v>45596</v>
      </c>
    </row>
    <row r="97" spans="1:5">
      <c r="A97" t="s">
        <v>772</v>
      </c>
      <c r="B97" s="286">
        <v>4</v>
      </c>
      <c r="C97" s="175">
        <v>45583</v>
      </c>
      <c r="D97" s="175">
        <v>45596</v>
      </c>
      <c r="E97" s="175">
        <v>45596</v>
      </c>
    </row>
    <row r="98" spans="1:5">
      <c r="A98" t="s">
        <v>773</v>
      </c>
      <c r="B98" s="286">
        <v>4</v>
      </c>
      <c r="C98" s="175">
        <v>45583</v>
      </c>
      <c r="D98" s="175">
        <v>45596</v>
      </c>
      <c r="E98" s="175">
        <v>45596</v>
      </c>
    </row>
    <row r="99" spans="1:5">
      <c r="A99" t="s">
        <v>774</v>
      </c>
      <c r="B99" s="286">
        <v>7</v>
      </c>
      <c r="C99" s="175">
        <v>45593</v>
      </c>
      <c r="D99" s="175">
        <v>45624</v>
      </c>
      <c r="E99" s="286"/>
    </row>
    <row r="100" spans="1:5">
      <c r="A100" t="s">
        <v>775</v>
      </c>
      <c r="B100" s="286">
        <v>7</v>
      </c>
      <c r="C100" s="175">
        <v>45593</v>
      </c>
      <c r="D100" s="175">
        <v>45624</v>
      </c>
      <c r="E100" s="286"/>
    </row>
    <row r="101" spans="1:5">
      <c r="A101" t="s">
        <v>776</v>
      </c>
      <c r="B101" s="286">
        <v>7</v>
      </c>
      <c r="C101" s="175">
        <v>45593</v>
      </c>
      <c r="D101" s="175">
        <v>45624</v>
      </c>
      <c r="E101" s="286"/>
    </row>
    <row r="102" spans="1:5">
      <c r="A102" t="s">
        <v>777</v>
      </c>
      <c r="B102" s="286">
        <v>7</v>
      </c>
      <c r="C102" s="175">
        <v>45593</v>
      </c>
      <c r="D102" s="175">
        <v>45624</v>
      </c>
      <c r="E102" s="286"/>
    </row>
    <row r="103" spans="1:5">
      <c r="A103" t="s">
        <v>778</v>
      </c>
      <c r="B103" s="286">
        <v>2</v>
      </c>
      <c r="C103" s="286"/>
      <c r="D103" s="286"/>
      <c r="E103" s="175">
        <v>45611</v>
      </c>
    </row>
    <row r="104" spans="1:5">
      <c r="A104" t="s">
        <v>779</v>
      </c>
      <c r="B104" s="286">
        <v>2</v>
      </c>
      <c r="C104" s="286"/>
      <c r="D104" s="286"/>
      <c r="E104" s="175">
        <v>45611</v>
      </c>
    </row>
    <row r="105" spans="1:5">
      <c r="A105" t="s">
        <v>780</v>
      </c>
      <c r="B105" s="286">
        <v>2</v>
      </c>
      <c r="C105" s="286"/>
      <c r="D105" s="286"/>
      <c r="E105" s="175">
        <v>45611</v>
      </c>
    </row>
    <row r="106" spans="1:5">
      <c r="A106" t="s">
        <v>781</v>
      </c>
      <c r="B106" s="286">
        <v>4</v>
      </c>
      <c r="C106" s="175">
        <v>45595</v>
      </c>
      <c r="D106" s="175">
        <v>45611</v>
      </c>
      <c r="E106" s="175">
        <v>45611</v>
      </c>
    </row>
    <row r="107" spans="1:5">
      <c r="A107" t="s">
        <v>782</v>
      </c>
      <c r="B107" s="286">
        <v>2</v>
      </c>
      <c r="C107" s="175">
        <v>45589</v>
      </c>
      <c r="D107" s="175">
        <v>45611</v>
      </c>
      <c r="E107" s="175">
        <v>45611</v>
      </c>
    </row>
    <row r="108" spans="1:5">
      <c r="A108" t="s">
        <v>783</v>
      </c>
      <c r="B108" s="286">
        <v>7</v>
      </c>
      <c r="C108" s="175">
        <v>45589</v>
      </c>
      <c r="D108" s="175">
        <v>45624</v>
      </c>
      <c r="E108" s="286"/>
    </row>
    <row r="109" spans="1:5">
      <c r="A109" t="s">
        <v>784</v>
      </c>
      <c r="B109" s="286">
        <v>2</v>
      </c>
      <c r="C109" s="175">
        <v>45589</v>
      </c>
      <c r="D109" s="175">
        <v>45611</v>
      </c>
      <c r="E109" s="175">
        <v>45611</v>
      </c>
    </row>
    <row r="110" spans="1:5">
      <c r="A110" t="s">
        <v>785</v>
      </c>
      <c r="B110" s="286">
        <v>2</v>
      </c>
      <c r="C110" s="175">
        <v>45589</v>
      </c>
      <c r="D110" s="175">
        <v>45611</v>
      </c>
      <c r="E110" s="175">
        <v>45611</v>
      </c>
    </row>
    <row r="111" spans="1:5">
      <c r="A111" t="s">
        <v>786</v>
      </c>
      <c r="B111" s="286">
        <v>2</v>
      </c>
      <c r="C111" s="175">
        <v>45583</v>
      </c>
      <c r="D111" s="175">
        <v>45611</v>
      </c>
      <c r="E111" s="175">
        <v>45611</v>
      </c>
    </row>
    <row r="112" spans="1:5">
      <c r="A112" t="s">
        <v>787</v>
      </c>
      <c r="B112" s="286">
        <v>2</v>
      </c>
      <c r="C112" s="175">
        <v>45583</v>
      </c>
      <c r="D112" s="175">
        <v>45596</v>
      </c>
      <c r="E112" s="175">
        <v>45596</v>
      </c>
    </row>
    <row r="113" spans="1:5">
      <c r="A113" t="s">
        <v>788</v>
      </c>
      <c r="B113" s="286">
        <v>7</v>
      </c>
      <c r="C113" s="175">
        <v>45588</v>
      </c>
      <c r="D113" s="175">
        <v>45624</v>
      </c>
      <c r="E113" s="286"/>
    </row>
    <row r="114" spans="1:5">
      <c r="A114" t="s">
        <v>789</v>
      </c>
      <c r="B114" s="286">
        <v>1</v>
      </c>
      <c r="C114" s="286"/>
      <c r="D114" s="286"/>
      <c r="E114" s="286"/>
    </row>
    <row r="115" spans="1:5">
      <c r="A115" t="s">
        <v>790</v>
      </c>
      <c r="B115" s="286">
        <v>1</v>
      </c>
      <c r="C115" s="286"/>
      <c r="D115" s="286"/>
      <c r="E115" s="286"/>
    </row>
    <row r="116" spans="1:5">
      <c r="A116" t="s">
        <v>791</v>
      </c>
      <c r="B116" s="286">
        <v>1</v>
      </c>
      <c r="C116" s="286"/>
      <c r="D116" s="286"/>
      <c r="E116" s="286"/>
    </row>
    <row r="117" spans="1:5">
      <c r="A117" t="s">
        <v>792</v>
      </c>
      <c r="B117" s="286">
        <v>1</v>
      </c>
      <c r="C117" s="286"/>
      <c r="D117" s="286"/>
      <c r="E117" s="286"/>
    </row>
    <row r="118" spans="1:5">
      <c r="A118" t="s">
        <v>793</v>
      </c>
      <c r="B118" s="286">
        <v>1</v>
      </c>
      <c r="C118" s="286"/>
      <c r="D118" s="286"/>
      <c r="E118" s="286"/>
    </row>
    <row r="119" spans="1:5">
      <c r="A119" t="s">
        <v>794</v>
      </c>
      <c r="B119" s="286">
        <v>1</v>
      </c>
      <c r="C119" s="286"/>
      <c r="D119" s="286"/>
      <c r="E119" s="286"/>
    </row>
    <row r="120" spans="1:5">
      <c r="A120" t="s">
        <v>795</v>
      </c>
      <c r="B120" s="286">
        <v>1</v>
      </c>
      <c r="C120" s="286"/>
      <c r="D120" s="286"/>
      <c r="E120" s="286"/>
    </row>
    <row r="121" spans="1:5">
      <c r="A121" t="s">
        <v>796</v>
      </c>
      <c r="B121" s="286">
        <v>1</v>
      </c>
      <c r="C121" s="286"/>
      <c r="D121" s="286"/>
      <c r="E121" s="286"/>
    </row>
    <row r="122" spans="1:5">
      <c r="A122" t="s">
        <v>797</v>
      </c>
      <c r="B122" s="286">
        <v>1</v>
      </c>
      <c r="C122" s="286"/>
      <c r="D122" s="286"/>
      <c r="E122" s="286"/>
    </row>
    <row r="123" spans="1:5">
      <c r="A123" t="s">
        <v>798</v>
      </c>
      <c r="B123" s="286">
        <v>1</v>
      </c>
      <c r="C123" s="286"/>
      <c r="D123" s="286"/>
      <c r="E123" s="286"/>
    </row>
    <row r="124" spans="1:5">
      <c r="A124" t="s">
        <v>1982</v>
      </c>
      <c r="B124" s="286">
        <v>7</v>
      </c>
      <c r="C124" s="175">
        <v>45593</v>
      </c>
      <c r="D124" s="175">
        <v>45624</v>
      </c>
      <c r="E124" s="286"/>
    </row>
    <row r="125" spans="1:5">
      <c r="A125" t="s">
        <v>1983</v>
      </c>
      <c r="B125" s="286">
        <v>7</v>
      </c>
      <c r="C125" s="175">
        <v>45593</v>
      </c>
      <c r="D125" s="175">
        <v>45624</v>
      </c>
      <c r="E125" s="286"/>
    </row>
    <row r="126" spans="1:5">
      <c r="A126" t="s">
        <v>1984</v>
      </c>
      <c r="B126" s="286">
        <v>7</v>
      </c>
      <c r="C126" s="286"/>
      <c r="D126" s="175">
        <v>45624</v>
      </c>
      <c r="E126" s="286"/>
    </row>
    <row r="127" spans="1:5">
      <c r="A127" t="s">
        <v>1985</v>
      </c>
      <c r="B127" s="286">
        <v>7</v>
      </c>
      <c r="C127" s="175">
        <v>45593</v>
      </c>
      <c r="D127" s="175">
        <v>45624</v>
      </c>
      <c r="E127" s="286"/>
    </row>
    <row r="128" spans="1:5">
      <c r="A128" t="s">
        <v>799</v>
      </c>
      <c r="B128" s="286">
        <v>1</v>
      </c>
      <c r="C128" s="286"/>
      <c r="D128" s="286"/>
      <c r="E128" s="286"/>
    </row>
    <row r="129" spans="1:5">
      <c r="A129" t="s">
        <v>800</v>
      </c>
      <c r="B129" s="286">
        <v>1</v>
      </c>
      <c r="C129" s="286"/>
      <c r="D129" s="286"/>
      <c r="E129" s="286"/>
    </row>
    <row r="130" spans="1:5">
      <c r="A130" t="s">
        <v>801</v>
      </c>
      <c r="B130" s="286">
        <v>1</v>
      </c>
      <c r="C130" s="286"/>
      <c r="D130" s="286"/>
      <c r="E130" s="286"/>
    </row>
    <row r="131" spans="1:5">
      <c r="A131" t="s">
        <v>802</v>
      </c>
      <c r="B131" s="286">
        <v>1</v>
      </c>
      <c r="C131" s="286"/>
      <c r="D131" s="286"/>
      <c r="E131" s="286"/>
    </row>
    <row r="132" spans="1:5">
      <c r="A132" t="s">
        <v>803</v>
      </c>
      <c r="B132" s="286">
        <v>1</v>
      </c>
      <c r="C132" s="286"/>
      <c r="D132" s="286"/>
      <c r="E132" s="286"/>
    </row>
    <row r="133" spans="1:5">
      <c r="A133" t="s">
        <v>804</v>
      </c>
      <c r="B133" s="286">
        <v>1</v>
      </c>
      <c r="C133" s="286"/>
      <c r="D133" s="286"/>
      <c r="E133" s="286"/>
    </row>
    <row r="134" spans="1:5">
      <c r="A134" t="s">
        <v>805</v>
      </c>
      <c r="B134" s="286">
        <v>1</v>
      </c>
      <c r="C134" s="286"/>
      <c r="D134" s="286"/>
      <c r="E134" s="286"/>
    </row>
    <row r="135" spans="1:5">
      <c r="A135" t="s">
        <v>806</v>
      </c>
      <c r="B135" s="286">
        <v>1</v>
      </c>
      <c r="C135" s="286"/>
      <c r="D135" s="286"/>
      <c r="E135" s="286"/>
    </row>
    <row r="136" spans="1:5">
      <c r="A136" t="s">
        <v>807</v>
      </c>
      <c r="B136" s="286">
        <v>1</v>
      </c>
      <c r="C136" s="286"/>
      <c r="D136" s="286"/>
      <c r="E136" s="286"/>
    </row>
    <row r="137" spans="1:5">
      <c r="A137" t="s">
        <v>1986</v>
      </c>
      <c r="B137" s="286">
        <v>2</v>
      </c>
      <c r="C137" s="175">
        <v>45593</v>
      </c>
      <c r="D137" s="175">
        <v>45611</v>
      </c>
      <c r="E137" s="175">
        <v>45611</v>
      </c>
    </row>
    <row r="138" spans="1:5">
      <c r="A138" t="s">
        <v>1987</v>
      </c>
      <c r="B138" s="286">
        <v>2</v>
      </c>
      <c r="C138" s="286"/>
      <c r="D138" s="175">
        <v>45611</v>
      </c>
      <c r="E138" s="175">
        <v>45611</v>
      </c>
    </row>
    <row r="139" spans="1:5">
      <c r="A139" t="s">
        <v>1988</v>
      </c>
      <c r="B139" s="286">
        <v>2</v>
      </c>
      <c r="C139" s="286"/>
      <c r="D139" s="175">
        <v>45611</v>
      </c>
      <c r="E139" s="175">
        <v>45611</v>
      </c>
    </row>
    <row r="140" spans="1:5">
      <c r="A140" t="s">
        <v>1989</v>
      </c>
      <c r="B140" s="286">
        <v>2</v>
      </c>
      <c r="C140" s="286"/>
      <c r="D140" s="175">
        <v>45611</v>
      </c>
      <c r="E140" s="175">
        <v>45611</v>
      </c>
    </row>
    <row r="141" spans="1:5">
      <c r="A141" t="s">
        <v>1990</v>
      </c>
      <c r="B141" s="286">
        <v>2</v>
      </c>
      <c r="C141" s="286"/>
      <c r="D141" s="175">
        <v>45611</v>
      </c>
      <c r="E141" s="175">
        <v>45611</v>
      </c>
    </row>
    <row r="142" spans="1:5">
      <c r="A142" t="s">
        <v>1991</v>
      </c>
      <c r="B142" s="286">
        <v>2</v>
      </c>
      <c r="C142" s="175">
        <v>45593</v>
      </c>
      <c r="D142" s="175">
        <v>45611</v>
      </c>
      <c r="E142" s="175">
        <v>45611</v>
      </c>
    </row>
    <row r="143" spans="1:5">
      <c r="A143" t="s">
        <v>1992</v>
      </c>
      <c r="B143" s="286">
        <v>2</v>
      </c>
      <c r="C143" s="175">
        <v>45593</v>
      </c>
      <c r="D143" s="175">
        <v>45611</v>
      </c>
      <c r="E143" s="175">
        <v>45611</v>
      </c>
    </row>
    <row r="144" spans="1:5">
      <c r="A144" t="s">
        <v>1993</v>
      </c>
      <c r="B144" s="286">
        <v>2</v>
      </c>
      <c r="C144" s="175">
        <v>45593</v>
      </c>
      <c r="D144" s="175">
        <v>45611</v>
      </c>
      <c r="E144" s="175">
        <v>45611</v>
      </c>
    </row>
    <row r="145" spans="1:5">
      <c r="A145" t="s">
        <v>1994</v>
      </c>
      <c r="B145" s="286">
        <v>2</v>
      </c>
      <c r="C145" s="175">
        <v>45593</v>
      </c>
      <c r="D145" s="175">
        <v>45611</v>
      </c>
      <c r="E145" s="175">
        <v>45611</v>
      </c>
    </row>
    <row r="146" spans="1:5">
      <c r="A146" t="s">
        <v>1995</v>
      </c>
      <c r="B146" s="286">
        <v>2</v>
      </c>
      <c r="C146" s="175">
        <v>45593</v>
      </c>
      <c r="D146" s="175">
        <v>45611</v>
      </c>
      <c r="E146" s="175">
        <v>45611</v>
      </c>
    </row>
    <row r="147" spans="1:5">
      <c r="A147" t="s">
        <v>1996</v>
      </c>
      <c r="B147" s="286">
        <v>2</v>
      </c>
      <c r="C147" s="175">
        <v>45593</v>
      </c>
      <c r="D147" s="175">
        <v>45611</v>
      </c>
      <c r="E147" s="175">
        <v>45611</v>
      </c>
    </row>
    <row r="148" spans="1:5">
      <c r="A148" t="s">
        <v>1997</v>
      </c>
      <c r="B148" s="286">
        <v>2</v>
      </c>
      <c r="C148" s="175">
        <v>45593</v>
      </c>
      <c r="D148" s="175">
        <v>45611</v>
      </c>
      <c r="E148" s="175">
        <v>45611</v>
      </c>
    </row>
    <row r="149" spans="1:5">
      <c r="A149" t="s">
        <v>1998</v>
      </c>
      <c r="B149" s="286">
        <v>2</v>
      </c>
      <c r="C149" s="286"/>
      <c r="D149" s="175">
        <v>45611</v>
      </c>
      <c r="E149" s="175">
        <v>45611</v>
      </c>
    </row>
    <row r="150" spans="1:5">
      <c r="A150" t="s">
        <v>1999</v>
      </c>
      <c r="B150" s="286">
        <v>2</v>
      </c>
      <c r="C150" s="175">
        <v>45593</v>
      </c>
      <c r="D150" s="175">
        <v>45611</v>
      </c>
      <c r="E150" s="175">
        <v>45611</v>
      </c>
    </row>
    <row r="151" spans="1:5">
      <c r="A151" t="s">
        <v>2000</v>
      </c>
      <c r="B151" s="286">
        <v>2</v>
      </c>
      <c r="C151" s="175">
        <v>45593</v>
      </c>
      <c r="D151" s="175">
        <v>45611</v>
      </c>
      <c r="E151" s="175">
        <v>45611</v>
      </c>
    </row>
    <row r="152" spans="1:5">
      <c r="A152" t="s">
        <v>808</v>
      </c>
      <c r="B152" s="286">
        <v>1</v>
      </c>
      <c r="C152" s="286"/>
      <c r="D152" s="175">
        <v>45603</v>
      </c>
      <c r="E152" s="286"/>
    </row>
    <row r="153" spans="1:5">
      <c r="A153" t="s">
        <v>809</v>
      </c>
      <c r="B153" s="286">
        <v>1</v>
      </c>
      <c r="C153" s="286"/>
      <c r="D153" s="175">
        <v>45603</v>
      </c>
      <c r="E153" s="286"/>
    </row>
    <row r="154" spans="1:5">
      <c r="A154" t="s">
        <v>810</v>
      </c>
      <c r="B154" s="286">
        <v>1</v>
      </c>
      <c r="C154" s="286"/>
      <c r="D154" s="175">
        <v>45603</v>
      </c>
      <c r="E154" s="286"/>
    </row>
    <row r="155" spans="1:5">
      <c r="A155" t="s">
        <v>811</v>
      </c>
      <c r="B155" s="286">
        <v>1</v>
      </c>
      <c r="C155" s="286"/>
      <c r="D155" s="175">
        <v>45603</v>
      </c>
      <c r="E155" s="286"/>
    </row>
    <row r="156" spans="1:5">
      <c r="A156" t="s">
        <v>812</v>
      </c>
      <c r="B156" s="286">
        <v>1</v>
      </c>
      <c r="C156" s="286"/>
      <c r="D156" s="175">
        <v>45603</v>
      </c>
      <c r="E156" s="286"/>
    </row>
    <row r="157" spans="1:5">
      <c r="A157" t="s">
        <v>813</v>
      </c>
      <c r="B157" s="286">
        <v>1</v>
      </c>
      <c r="C157" s="286"/>
      <c r="D157" s="175">
        <v>45603</v>
      </c>
      <c r="E157" s="286"/>
    </row>
    <row r="158" spans="1:5">
      <c r="A158" t="s">
        <v>814</v>
      </c>
      <c r="B158" s="286">
        <v>1</v>
      </c>
      <c r="C158" s="286"/>
      <c r="D158" s="175">
        <v>45603</v>
      </c>
      <c r="E158" s="286"/>
    </row>
    <row r="159" spans="1:5">
      <c r="A159" t="s">
        <v>815</v>
      </c>
      <c r="B159" s="286">
        <v>1</v>
      </c>
      <c r="C159" s="286"/>
      <c r="D159" s="175">
        <v>45603</v>
      </c>
      <c r="E159" s="286"/>
    </row>
    <row r="160" spans="1:5">
      <c r="A160" t="s">
        <v>816</v>
      </c>
      <c r="B160" s="286">
        <v>1</v>
      </c>
      <c r="C160" s="286"/>
      <c r="D160" s="175">
        <v>45603</v>
      </c>
      <c r="E160" s="175">
        <v>45534</v>
      </c>
    </row>
    <row r="161" spans="1:5">
      <c r="A161" t="s">
        <v>817</v>
      </c>
      <c r="B161" s="286">
        <v>1</v>
      </c>
      <c r="C161" s="286"/>
      <c r="D161" s="175">
        <v>45603</v>
      </c>
      <c r="E161" s="175">
        <v>45534</v>
      </c>
    </row>
    <row r="162" spans="1:5">
      <c r="A162" t="s">
        <v>818</v>
      </c>
      <c r="B162" s="286">
        <v>1</v>
      </c>
      <c r="C162" s="286"/>
      <c r="D162" s="175">
        <v>45603</v>
      </c>
      <c r="E162" s="175">
        <v>45534</v>
      </c>
    </row>
    <row r="163" spans="1:5">
      <c r="A163" t="s">
        <v>819</v>
      </c>
      <c r="B163" s="286">
        <v>0</v>
      </c>
      <c r="C163" s="286"/>
      <c r="D163" s="175">
        <v>45534</v>
      </c>
      <c r="E163" s="175">
        <v>45534</v>
      </c>
    </row>
    <row r="164" spans="1:5">
      <c r="A164" t="s">
        <v>820</v>
      </c>
      <c r="B164" s="286">
        <v>1</v>
      </c>
      <c r="C164" s="286"/>
      <c r="D164" s="175">
        <v>45603</v>
      </c>
      <c r="E164" s="175">
        <v>45534</v>
      </c>
    </row>
    <row r="165" spans="1:5">
      <c r="A165" t="s">
        <v>821</v>
      </c>
      <c r="B165" s="286">
        <v>1</v>
      </c>
      <c r="C165" s="286"/>
      <c r="D165" s="175">
        <v>45603</v>
      </c>
      <c r="E165" s="175">
        <v>45534</v>
      </c>
    </row>
    <row r="166" spans="1:5">
      <c r="A166" t="s">
        <v>822</v>
      </c>
      <c r="B166" s="286">
        <v>1</v>
      </c>
      <c r="C166" s="286"/>
      <c r="D166" s="175">
        <v>45603</v>
      </c>
      <c r="E166" s="175">
        <v>45534</v>
      </c>
    </row>
    <row r="167" spans="1:5">
      <c r="A167" t="s">
        <v>823</v>
      </c>
      <c r="B167" s="286">
        <v>1</v>
      </c>
      <c r="C167" s="286"/>
      <c r="D167" s="175">
        <v>45603</v>
      </c>
      <c r="E167" s="175">
        <v>45534</v>
      </c>
    </row>
    <row r="168" spans="1:5">
      <c r="A168" t="s">
        <v>824</v>
      </c>
      <c r="B168" s="286">
        <v>1</v>
      </c>
      <c r="C168" s="286"/>
      <c r="D168" s="175">
        <v>45603</v>
      </c>
      <c r="E168" s="175">
        <v>45534</v>
      </c>
    </row>
    <row r="169" spans="1:5">
      <c r="A169" t="s">
        <v>825</v>
      </c>
      <c r="B169" s="286">
        <v>1</v>
      </c>
      <c r="C169" s="286"/>
      <c r="D169" s="175">
        <v>45603</v>
      </c>
      <c r="E169" s="175">
        <v>45534</v>
      </c>
    </row>
    <row r="170" spans="1:5">
      <c r="A170" t="s">
        <v>826</v>
      </c>
      <c r="B170" s="286">
        <v>1</v>
      </c>
      <c r="C170" s="286"/>
      <c r="D170" s="175">
        <v>45603</v>
      </c>
      <c r="E170" s="175">
        <v>45534</v>
      </c>
    </row>
    <row r="171" spans="1:5">
      <c r="A171" t="s">
        <v>827</v>
      </c>
      <c r="B171" s="286">
        <v>1</v>
      </c>
      <c r="C171" s="286"/>
      <c r="D171" s="175">
        <v>45603</v>
      </c>
      <c r="E171" s="175">
        <v>45534</v>
      </c>
    </row>
    <row r="172" spans="1:5">
      <c r="A172" t="s">
        <v>828</v>
      </c>
      <c r="B172" s="286">
        <v>1</v>
      </c>
      <c r="C172" s="286"/>
      <c r="D172" s="175">
        <v>45603</v>
      </c>
      <c r="E172" s="175">
        <v>45534</v>
      </c>
    </row>
    <row r="173" spans="1:5">
      <c r="A173" t="s">
        <v>829</v>
      </c>
      <c r="B173" s="286">
        <v>1</v>
      </c>
      <c r="C173" s="286"/>
      <c r="D173" s="175">
        <v>45603</v>
      </c>
      <c r="E173" s="175">
        <v>45534</v>
      </c>
    </row>
    <row r="174" spans="1:5">
      <c r="A174" t="s">
        <v>830</v>
      </c>
      <c r="B174" s="286">
        <v>1</v>
      </c>
      <c r="C174" s="286"/>
      <c r="D174" s="175">
        <v>45603</v>
      </c>
      <c r="E174" s="175">
        <v>45534</v>
      </c>
    </row>
    <row r="175" spans="1:5">
      <c r="A175" t="s">
        <v>831</v>
      </c>
      <c r="B175" s="286">
        <v>1</v>
      </c>
      <c r="C175" s="286"/>
      <c r="D175" s="175">
        <v>45603</v>
      </c>
      <c r="E175" s="175">
        <v>45534</v>
      </c>
    </row>
    <row r="176" spans="1:5">
      <c r="A176" t="s">
        <v>832</v>
      </c>
      <c r="B176" s="286">
        <v>1</v>
      </c>
      <c r="C176" s="286"/>
      <c r="D176" s="175">
        <v>45603</v>
      </c>
      <c r="E176" s="175">
        <v>45534</v>
      </c>
    </row>
    <row r="177" spans="1:5">
      <c r="A177" t="s">
        <v>833</v>
      </c>
      <c r="B177" s="286">
        <v>1</v>
      </c>
      <c r="C177" s="286"/>
      <c r="D177" s="175">
        <v>45603</v>
      </c>
      <c r="E177" s="175">
        <v>45534</v>
      </c>
    </row>
    <row r="178" spans="1:5">
      <c r="A178" t="s">
        <v>834</v>
      </c>
      <c r="B178" s="286">
        <v>1</v>
      </c>
      <c r="C178" s="286"/>
      <c r="D178" s="175">
        <v>45603</v>
      </c>
      <c r="E178" s="175">
        <v>45534</v>
      </c>
    </row>
    <row r="179" spans="1:5">
      <c r="A179" t="s">
        <v>835</v>
      </c>
      <c r="B179" s="286">
        <v>1</v>
      </c>
      <c r="C179" s="286"/>
      <c r="D179" s="175">
        <v>45603</v>
      </c>
      <c r="E179" s="286"/>
    </row>
    <row r="180" spans="1:5">
      <c r="A180" t="s">
        <v>836</v>
      </c>
      <c r="B180" s="286">
        <v>0</v>
      </c>
      <c r="C180" s="286"/>
      <c r="D180" s="286"/>
      <c r="E180" s="286"/>
    </row>
    <row r="181" spans="1:5">
      <c r="A181" t="s">
        <v>837</v>
      </c>
      <c r="B181" s="286">
        <v>1</v>
      </c>
      <c r="C181" s="286"/>
      <c r="D181" s="175">
        <v>45603</v>
      </c>
      <c r="E181" s="286"/>
    </row>
    <row r="182" spans="1:5">
      <c r="A182" t="s">
        <v>838</v>
      </c>
      <c r="B182" s="286">
        <v>1</v>
      </c>
      <c r="C182" s="286"/>
      <c r="D182" s="175">
        <v>45603</v>
      </c>
      <c r="E182" s="286"/>
    </row>
    <row r="183" spans="1:5">
      <c r="A183" t="s">
        <v>839</v>
      </c>
      <c r="B183" s="286">
        <v>1</v>
      </c>
      <c r="C183" s="286"/>
      <c r="D183" s="175">
        <v>45603</v>
      </c>
      <c r="E183" s="286"/>
    </row>
    <row r="184" spans="1:5">
      <c r="A184" t="s">
        <v>840</v>
      </c>
      <c r="B184" s="286">
        <v>0</v>
      </c>
      <c r="C184" s="286"/>
      <c r="D184" s="286"/>
      <c r="E184" s="286"/>
    </row>
    <row r="185" spans="1:5">
      <c r="A185" t="s">
        <v>841</v>
      </c>
      <c r="B185" s="286">
        <v>1</v>
      </c>
      <c r="C185" s="286"/>
      <c r="D185" s="175">
        <v>45603</v>
      </c>
      <c r="E185" s="286"/>
    </row>
    <row r="186" spans="1:5">
      <c r="A186" t="s">
        <v>842</v>
      </c>
      <c r="B186" s="286">
        <v>1</v>
      </c>
      <c r="C186" s="286"/>
      <c r="D186" s="175">
        <v>45603</v>
      </c>
      <c r="E186" s="286"/>
    </row>
    <row r="187" spans="1:5">
      <c r="A187" t="s">
        <v>843</v>
      </c>
      <c r="B187" s="286">
        <v>1</v>
      </c>
      <c r="C187" s="286"/>
      <c r="D187" s="175">
        <v>45603</v>
      </c>
      <c r="E187" s="286"/>
    </row>
    <row r="188" spans="1:5">
      <c r="A188" t="s">
        <v>844</v>
      </c>
      <c r="B188" s="286">
        <v>0</v>
      </c>
      <c r="C188" s="286"/>
      <c r="D188" s="286"/>
      <c r="E188" s="286"/>
    </row>
    <row r="189" spans="1:5">
      <c r="A189" t="s">
        <v>845</v>
      </c>
      <c r="B189" s="286">
        <v>1</v>
      </c>
      <c r="C189" s="286"/>
      <c r="D189" s="175">
        <v>45603</v>
      </c>
      <c r="E189" s="286"/>
    </row>
    <row r="190" spans="1:5">
      <c r="A190" t="s">
        <v>846</v>
      </c>
      <c r="B190" s="286">
        <v>1</v>
      </c>
      <c r="C190" s="286"/>
      <c r="D190" s="175">
        <v>45603</v>
      </c>
      <c r="E190" s="286"/>
    </row>
    <row r="191" spans="1:5">
      <c r="A191" t="s">
        <v>847</v>
      </c>
      <c r="B191" s="286">
        <v>1</v>
      </c>
      <c r="C191" s="286"/>
      <c r="D191" s="175">
        <v>45603</v>
      </c>
      <c r="E191" s="286"/>
    </row>
    <row r="192" spans="1:5">
      <c r="A192" t="s">
        <v>848</v>
      </c>
      <c r="B192" s="286">
        <v>1</v>
      </c>
      <c r="C192" s="286"/>
      <c r="D192" s="175">
        <v>45603</v>
      </c>
      <c r="E192" s="286"/>
    </row>
    <row r="193" spans="1:5">
      <c r="A193" t="s">
        <v>849</v>
      </c>
      <c r="B193" s="286">
        <v>1</v>
      </c>
      <c r="C193" s="286"/>
      <c r="D193" s="175">
        <v>45603</v>
      </c>
      <c r="E193" s="286"/>
    </row>
    <row r="194" spans="1:5">
      <c r="A194" t="s">
        <v>850</v>
      </c>
      <c r="B194" s="286">
        <v>1</v>
      </c>
      <c r="C194" s="286"/>
      <c r="D194" s="175">
        <v>45603</v>
      </c>
      <c r="E194" s="286"/>
    </row>
    <row r="195" spans="1:5">
      <c r="A195" t="s">
        <v>851</v>
      </c>
      <c r="B195" s="286">
        <v>0</v>
      </c>
      <c r="C195" s="286"/>
      <c r="D195" s="286"/>
      <c r="E195" s="286"/>
    </row>
    <row r="196" spans="1:5">
      <c r="A196" t="s">
        <v>852</v>
      </c>
      <c r="B196" s="286">
        <v>0</v>
      </c>
      <c r="C196" s="286"/>
      <c r="D196" s="286"/>
      <c r="E196" s="286"/>
    </row>
    <row r="197" spans="1:5">
      <c r="A197" t="s">
        <v>853</v>
      </c>
      <c r="B197" s="286">
        <v>0</v>
      </c>
      <c r="C197" s="286"/>
      <c r="D197" s="286"/>
      <c r="E197" s="286"/>
    </row>
    <row r="198" spans="1:5">
      <c r="A198" t="s">
        <v>854</v>
      </c>
      <c r="B198" s="286">
        <v>1</v>
      </c>
      <c r="C198" s="286"/>
      <c r="D198" s="175">
        <v>45603</v>
      </c>
      <c r="E198" s="286"/>
    </row>
    <row r="199" spans="1:5">
      <c r="A199" t="s">
        <v>855</v>
      </c>
      <c r="B199" s="286">
        <v>1</v>
      </c>
      <c r="C199" s="286"/>
      <c r="D199" s="175">
        <v>45603</v>
      </c>
      <c r="E199" s="286"/>
    </row>
    <row r="200" spans="1:5">
      <c r="A200" t="s">
        <v>856</v>
      </c>
      <c r="B200" s="286">
        <v>0</v>
      </c>
      <c r="C200" s="286"/>
      <c r="D200" s="286"/>
      <c r="E200" s="286"/>
    </row>
    <row r="201" spans="1:5">
      <c r="A201" t="s">
        <v>857</v>
      </c>
      <c r="B201" s="286">
        <v>1</v>
      </c>
      <c r="C201" s="286"/>
      <c r="D201" s="175">
        <v>45603</v>
      </c>
      <c r="E201" s="286"/>
    </row>
    <row r="202" spans="1:5">
      <c r="A202" t="s">
        <v>858</v>
      </c>
      <c r="B202" s="286">
        <v>1</v>
      </c>
      <c r="C202" s="286"/>
      <c r="D202" s="175">
        <v>45603</v>
      </c>
      <c r="E202" s="286"/>
    </row>
    <row r="203" spans="1:5">
      <c r="A203" t="s">
        <v>859</v>
      </c>
      <c r="B203" s="286">
        <v>1</v>
      </c>
      <c r="C203" s="286"/>
      <c r="D203" s="175">
        <v>45603</v>
      </c>
      <c r="E203" s="286"/>
    </row>
    <row r="204" spans="1:5">
      <c r="A204" t="s">
        <v>860</v>
      </c>
      <c r="B204" s="286">
        <v>1</v>
      </c>
      <c r="C204" s="286"/>
      <c r="D204" s="175">
        <v>45603</v>
      </c>
      <c r="E204" s="286"/>
    </row>
    <row r="205" spans="1:5">
      <c r="A205" t="s">
        <v>861</v>
      </c>
      <c r="B205" s="286">
        <v>1</v>
      </c>
      <c r="C205" s="286"/>
      <c r="D205" s="175">
        <v>45603</v>
      </c>
      <c r="E205" s="286"/>
    </row>
    <row r="206" spans="1:5">
      <c r="A206" t="s">
        <v>862</v>
      </c>
      <c r="B206" s="286">
        <v>1</v>
      </c>
      <c r="C206" s="286"/>
      <c r="D206" s="175">
        <v>45603</v>
      </c>
      <c r="E206" s="286"/>
    </row>
    <row r="207" spans="1:5">
      <c r="A207" t="s">
        <v>863</v>
      </c>
      <c r="B207" s="286">
        <v>1</v>
      </c>
      <c r="C207" s="286"/>
      <c r="D207" s="175">
        <v>45603</v>
      </c>
      <c r="E207" s="286"/>
    </row>
    <row r="208" spans="1:5">
      <c r="A208" t="s">
        <v>864</v>
      </c>
      <c r="B208" s="286">
        <v>1</v>
      </c>
      <c r="C208" s="286"/>
      <c r="D208" s="175">
        <v>45603</v>
      </c>
      <c r="E208" s="286"/>
    </row>
    <row r="209" spans="1:5">
      <c r="A209" t="s">
        <v>865</v>
      </c>
      <c r="B209" s="286">
        <v>1</v>
      </c>
      <c r="C209" s="286"/>
      <c r="D209" s="175">
        <v>45603</v>
      </c>
      <c r="E209" s="286"/>
    </row>
    <row r="210" spans="1:5">
      <c r="A210" t="s">
        <v>866</v>
      </c>
      <c r="B210" s="286">
        <v>1</v>
      </c>
      <c r="C210" s="286"/>
      <c r="D210" s="175">
        <v>45603</v>
      </c>
      <c r="E210" s="286"/>
    </row>
    <row r="211" spans="1:5">
      <c r="A211" t="s">
        <v>867</v>
      </c>
      <c r="B211" s="286">
        <v>1</v>
      </c>
      <c r="C211" s="286"/>
      <c r="D211" s="175">
        <v>45603</v>
      </c>
      <c r="E211" s="286"/>
    </row>
    <row r="212" spans="1:5">
      <c r="A212" t="s">
        <v>868</v>
      </c>
      <c r="B212" s="286">
        <v>1</v>
      </c>
      <c r="C212" s="286"/>
      <c r="D212" s="175">
        <v>45603</v>
      </c>
      <c r="E212" s="286"/>
    </row>
    <row r="213" spans="1:5">
      <c r="A213" t="s">
        <v>869</v>
      </c>
      <c r="B213" s="286">
        <v>1</v>
      </c>
      <c r="C213" s="286"/>
      <c r="D213" s="175">
        <v>45603</v>
      </c>
      <c r="E213" s="286"/>
    </row>
    <row r="214" spans="1:5">
      <c r="A214" t="s">
        <v>870</v>
      </c>
      <c r="B214" s="286">
        <v>1</v>
      </c>
      <c r="C214" s="286"/>
      <c r="D214" s="175">
        <v>45603</v>
      </c>
      <c r="E214" s="286"/>
    </row>
    <row r="215" spans="1:5">
      <c r="A215" t="s">
        <v>871</v>
      </c>
      <c r="B215" s="286">
        <v>1</v>
      </c>
      <c r="C215" s="286"/>
      <c r="D215" s="175">
        <v>45603</v>
      </c>
      <c r="E215" s="286"/>
    </row>
    <row r="216" spans="1:5">
      <c r="A216" t="s">
        <v>872</v>
      </c>
      <c r="B216" s="286">
        <v>1</v>
      </c>
      <c r="C216" s="175">
        <v>45491</v>
      </c>
      <c r="D216" s="175">
        <v>45603</v>
      </c>
      <c r="E216" s="175">
        <v>45499</v>
      </c>
    </row>
    <row r="217" spans="1:5">
      <c r="A217" t="s">
        <v>873</v>
      </c>
      <c r="B217" s="286">
        <v>1</v>
      </c>
      <c r="C217" s="175">
        <v>45491</v>
      </c>
      <c r="D217" s="175">
        <v>45603</v>
      </c>
      <c r="E217" s="175">
        <v>45499</v>
      </c>
    </row>
    <row r="218" spans="1:5">
      <c r="A218" t="s">
        <v>874</v>
      </c>
      <c r="B218" s="286">
        <v>1</v>
      </c>
      <c r="C218" s="286"/>
      <c r="D218" s="175">
        <v>45603</v>
      </c>
      <c r="E218" s="286"/>
    </row>
    <row r="219" spans="1:5">
      <c r="A219" t="s">
        <v>875</v>
      </c>
      <c r="B219" s="286">
        <v>1</v>
      </c>
      <c r="C219" s="286"/>
      <c r="D219" s="175">
        <v>45603</v>
      </c>
      <c r="E219" s="175">
        <v>45534</v>
      </c>
    </row>
    <row r="220" spans="1:5">
      <c r="A220" t="s">
        <v>876</v>
      </c>
      <c r="B220" s="286">
        <v>1</v>
      </c>
      <c r="C220" s="286"/>
      <c r="D220" s="175">
        <v>45603</v>
      </c>
      <c r="E220" s="175">
        <v>45534</v>
      </c>
    </row>
    <row r="221" spans="1:5">
      <c r="A221" t="s">
        <v>877</v>
      </c>
      <c r="B221" s="286">
        <v>1</v>
      </c>
      <c r="C221" s="175">
        <v>45471</v>
      </c>
      <c r="D221" s="175">
        <v>45603</v>
      </c>
      <c r="E221" s="175">
        <v>45534</v>
      </c>
    </row>
    <row r="222" spans="1:5">
      <c r="A222" t="s">
        <v>878</v>
      </c>
      <c r="B222" s="286">
        <v>1</v>
      </c>
      <c r="C222" s="286"/>
      <c r="D222" s="175">
        <v>45603</v>
      </c>
      <c r="E222" s="175">
        <v>45534</v>
      </c>
    </row>
    <row r="223" spans="1:5">
      <c r="A223" t="s">
        <v>879</v>
      </c>
      <c r="B223" s="286">
        <v>1</v>
      </c>
      <c r="C223" s="286"/>
      <c r="D223" s="175">
        <v>45603</v>
      </c>
      <c r="E223" s="175">
        <v>45534</v>
      </c>
    </row>
    <row r="224" spans="1:5">
      <c r="A224" t="s">
        <v>880</v>
      </c>
      <c r="B224" s="286">
        <v>1</v>
      </c>
      <c r="C224" s="286"/>
      <c r="D224" s="175">
        <v>45603</v>
      </c>
      <c r="E224" s="175">
        <v>45534</v>
      </c>
    </row>
    <row r="225" spans="1:5">
      <c r="A225" t="s">
        <v>881</v>
      </c>
      <c r="B225" s="286">
        <v>1</v>
      </c>
      <c r="C225" s="286"/>
      <c r="D225" s="175">
        <v>45603</v>
      </c>
      <c r="E225" s="175">
        <v>45534</v>
      </c>
    </row>
    <row r="226" spans="1:5">
      <c r="A226" t="s">
        <v>882</v>
      </c>
      <c r="B226" s="286">
        <v>1</v>
      </c>
      <c r="C226" s="286"/>
      <c r="D226" s="175">
        <v>45603</v>
      </c>
      <c r="E226" s="175">
        <v>45534</v>
      </c>
    </row>
    <row r="227" spans="1:5">
      <c r="A227" t="s">
        <v>883</v>
      </c>
      <c r="B227" s="286">
        <v>1</v>
      </c>
      <c r="C227" s="286"/>
      <c r="D227" s="175">
        <v>45603</v>
      </c>
      <c r="E227" s="175">
        <v>45534</v>
      </c>
    </row>
    <row r="228" spans="1:5">
      <c r="A228" t="s">
        <v>884</v>
      </c>
      <c r="B228" s="286">
        <v>1</v>
      </c>
      <c r="C228" s="286"/>
      <c r="D228" s="175">
        <v>45603</v>
      </c>
      <c r="E228" s="175">
        <v>45534</v>
      </c>
    </row>
    <row r="229" spans="1:5">
      <c r="A229" t="s">
        <v>885</v>
      </c>
      <c r="B229" s="286">
        <v>1</v>
      </c>
      <c r="C229" s="286"/>
      <c r="D229" s="175">
        <v>45603</v>
      </c>
      <c r="E229" s="175">
        <v>45534</v>
      </c>
    </row>
    <row r="230" spans="1:5">
      <c r="A230" t="s">
        <v>886</v>
      </c>
      <c r="B230" s="286">
        <v>1</v>
      </c>
      <c r="C230" s="286"/>
      <c r="D230" s="175">
        <v>45603</v>
      </c>
      <c r="E230" s="175">
        <v>45534</v>
      </c>
    </row>
    <row r="231" spans="1:5">
      <c r="A231" t="s">
        <v>887</v>
      </c>
      <c r="B231" s="286">
        <v>1</v>
      </c>
      <c r="C231" s="286"/>
      <c r="D231" s="175">
        <v>45603</v>
      </c>
      <c r="E231" s="175">
        <v>45534</v>
      </c>
    </row>
    <row r="232" spans="1:5">
      <c r="A232" t="s">
        <v>888</v>
      </c>
      <c r="B232" s="286">
        <v>1</v>
      </c>
      <c r="C232" s="286"/>
      <c r="D232" s="175">
        <v>45603</v>
      </c>
      <c r="E232" s="175">
        <v>45534</v>
      </c>
    </row>
    <row r="233" spans="1:5">
      <c r="A233" t="s">
        <v>889</v>
      </c>
      <c r="B233" s="286">
        <v>1</v>
      </c>
      <c r="C233" s="286"/>
      <c r="D233" s="175">
        <v>45603</v>
      </c>
      <c r="E233" s="175">
        <v>45534</v>
      </c>
    </row>
    <row r="234" spans="1:5">
      <c r="A234" t="s">
        <v>890</v>
      </c>
      <c r="B234" s="286">
        <v>1</v>
      </c>
      <c r="C234" s="286"/>
      <c r="D234" s="175">
        <v>45603</v>
      </c>
      <c r="E234" s="175">
        <v>45534</v>
      </c>
    </row>
    <row r="235" spans="1:5">
      <c r="A235" t="s">
        <v>891</v>
      </c>
      <c r="B235" s="286">
        <v>1</v>
      </c>
      <c r="C235" s="286"/>
      <c r="D235" s="175">
        <v>45603</v>
      </c>
      <c r="E235" s="175">
        <v>45534</v>
      </c>
    </row>
    <row r="236" spans="1:5">
      <c r="A236" t="s">
        <v>892</v>
      </c>
      <c r="B236" s="286">
        <v>1</v>
      </c>
      <c r="C236" s="286"/>
      <c r="D236" s="175">
        <v>45603</v>
      </c>
      <c r="E236" s="175">
        <v>45534</v>
      </c>
    </row>
    <row r="237" spans="1:5">
      <c r="A237" t="s">
        <v>893</v>
      </c>
      <c r="B237" s="286">
        <v>1</v>
      </c>
      <c r="C237" s="286"/>
      <c r="D237" s="175">
        <v>45603</v>
      </c>
      <c r="E237" s="175">
        <v>45534</v>
      </c>
    </row>
    <row r="238" spans="1:5">
      <c r="A238" t="s">
        <v>894</v>
      </c>
      <c r="B238" s="286">
        <v>0</v>
      </c>
      <c r="C238" s="286"/>
      <c r="D238" s="286"/>
      <c r="E238" s="286"/>
    </row>
    <row r="239" spans="1:5">
      <c r="A239" t="s">
        <v>895</v>
      </c>
      <c r="B239" s="286">
        <v>0</v>
      </c>
      <c r="C239" s="286"/>
      <c r="D239" s="286"/>
      <c r="E239" s="286"/>
    </row>
    <row r="240" spans="1:5">
      <c r="A240" t="s">
        <v>896</v>
      </c>
      <c r="B240" s="286">
        <v>0</v>
      </c>
      <c r="C240" s="286"/>
      <c r="D240" s="286"/>
      <c r="E240" s="286"/>
    </row>
    <row r="241" spans="1:5">
      <c r="A241" t="s">
        <v>897</v>
      </c>
      <c r="B241" s="286">
        <v>1</v>
      </c>
      <c r="C241" s="286"/>
      <c r="D241" s="175">
        <v>45603</v>
      </c>
      <c r="E241" s="175">
        <v>45534</v>
      </c>
    </row>
    <row r="242" spans="1:5">
      <c r="A242" t="s">
        <v>898</v>
      </c>
      <c r="B242" s="286">
        <v>1</v>
      </c>
      <c r="C242" s="286"/>
      <c r="D242" s="175">
        <v>45603</v>
      </c>
      <c r="E242" s="175">
        <v>45534</v>
      </c>
    </row>
    <row r="243" spans="1:5">
      <c r="A243" t="s">
        <v>899</v>
      </c>
      <c r="B243" s="286">
        <v>1</v>
      </c>
      <c r="C243" s="286"/>
      <c r="D243" s="175">
        <v>45603</v>
      </c>
      <c r="E243" s="175">
        <v>45534</v>
      </c>
    </row>
    <row r="244" spans="1:5">
      <c r="A244" t="s">
        <v>900</v>
      </c>
      <c r="B244" s="286">
        <v>1</v>
      </c>
      <c r="C244" s="286"/>
      <c r="D244" s="175">
        <v>45603</v>
      </c>
      <c r="E244" s="175">
        <v>45534</v>
      </c>
    </row>
    <row r="245" spans="1:5">
      <c r="A245" t="s">
        <v>901</v>
      </c>
      <c r="B245" s="286">
        <v>1</v>
      </c>
      <c r="C245" s="286"/>
      <c r="D245" s="175">
        <v>45603</v>
      </c>
      <c r="E245" s="175">
        <v>45534</v>
      </c>
    </row>
    <row r="246" spans="1:5">
      <c r="A246" t="s">
        <v>902</v>
      </c>
      <c r="B246" s="286">
        <v>1</v>
      </c>
      <c r="C246" s="286"/>
      <c r="D246" s="175">
        <v>45603</v>
      </c>
      <c r="E246" s="175">
        <v>45534</v>
      </c>
    </row>
    <row r="247" spans="1:5">
      <c r="A247" t="s">
        <v>903</v>
      </c>
      <c r="B247" s="286">
        <v>1</v>
      </c>
      <c r="C247" s="286"/>
      <c r="D247" s="175">
        <v>45603</v>
      </c>
      <c r="E247" s="175">
        <v>45534</v>
      </c>
    </row>
    <row r="248" spans="1:5">
      <c r="A248" t="s">
        <v>904</v>
      </c>
      <c r="B248" s="286">
        <v>1</v>
      </c>
      <c r="C248" s="286"/>
      <c r="D248" s="175">
        <v>45603</v>
      </c>
      <c r="E248" s="175">
        <v>45534</v>
      </c>
    </row>
    <row r="249" spans="1:5">
      <c r="A249" t="s">
        <v>905</v>
      </c>
      <c r="B249" s="286">
        <v>1</v>
      </c>
      <c r="C249" s="286"/>
      <c r="D249" s="175">
        <v>45603</v>
      </c>
      <c r="E249" s="175">
        <v>45534</v>
      </c>
    </row>
    <row r="250" spans="1:5">
      <c r="A250" t="s">
        <v>906</v>
      </c>
      <c r="B250" s="286">
        <v>1</v>
      </c>
      <c r="C250" s="286"/>
      <c r="D250" s="175">
        <v>45603</v>
      </c>
      <c r="E250" s="175">
        <v>45534</v>
      </c>
    </row>
    <row r="251" spans="1:5">
      <c r="A251" t="s">
        <v>907</v>
      </c>
      <c r="B251" s="286">
        <v>1</v>
      </c>
      <c r="C251" s="286"/>
      <c r="D251" s="175">
        <v>45603</v>
      </c>
      <c r="E251" s="175">
        <v>45534</v>
      </c>
    </row>
    <row r="252" spans="1:5">
      <c r="A252" t="s">
        <v>908</v>
      </c>
      <c r="B252" s="286">
        <v>1</v>
      </c>
      <c r="C252" s="286"/>
      <c r="D252" s="175">
        <v>45603</v>
      </c>
      <c r="E252" s="175">
        <v>45534</v>
      </c>
    </row>
    <row r="253" spans="1:5">
      <c r="A253" t="s">
        <v>909</v>
      </c>
      <c r="B253" s="286">
        <v>1</v>
      </c>
      <c r="C253" s="286"/>
      <c r="D253" s="175">
        <v>45603</v>
      </c>
      <c r="E253" s="175">
        <v>45534</v>
      </c>
    </row>
    <row r="254" spans="1:5">
      <c r="A254" t="s">
        <v>910</v>
      </c>
      <c r="B254" s="286">
        <v>1</v>
      </c>
      <c r="C254" s="286"/>
      <c r="D254" s="175">
        <v>45603</v>
      </c>
      <c r="E254" s="175">
        <v>45534</v>
      </c>
    </row>
    <row r="255" spans="1:5">
      <c r="A255" t="s">
        <v>911</v>
      </c>
      <c r="B255" s="286">
        <v>1</v>
      </c>
      <c r="C255" s="286"/>
      <c r="D255" s="175">
        <v>45603</v>
      </c>
      <c r="E255" s="175">
        <v>45534</v>
      </c>
    </row>
    <row r="256" spans="1:5">
      <c r="A256" t="s">
        <v>912</v>
      </c>
      <c r="B256" s="286">
        <v>1</v>
      </c>
      <c r="C256" s="286"/>
      <c r="D256" s="175">
        <v>45603</v>
      </c>
      <c r="E256" s="175">
        <v>45534</v>
      </c>
    </row>
    <row r="257" spans="1:5">
      <c r="A257" t="s">
        <v>913</v>
      </c>
      <c r="B257" s="286">
        <v>1</v>
      </c>
      <c r="C257" s="286"/>
      <c r="D257" s="175">
        <v>45603</v>
      </c>
      <c r="E257" s="175">
        <v>45534</v>
      </c>
    </row>
    <row r="258" spans="1:5">
      <c r="A258" t="s">
        <v>914</v>
      </c>
      <c r="B258" s="286">
        <v>1</v>
      </c>
      <c r="C258" s="286"/>
      <c r="D258" s="175">
        <v>45603</v>
      </c>
      <c r="E258" s="175">
        <v>45534</v>
      </c>
    </row>
    <row r="259" spans="1:5">
      <c r="A259" t="s">
        <v>915</v>
      </c>
      <c r="B259" s="286">
        <v>1</v>
      </c>
      <c r="C259" s="286"/>
      <c r="D259" s="175">
        <v>45603</v>
      </c>
      <c r="E259" s="175">
        <v>45534</v>
      </c>
    </row>
    <row r="260" spans="1:5">
      <c r="A260" t="s">
        <v>916</v>
      </c>
      <c r="B260" s="286">
        <v>1</v>
      </c>
      <c r="C260" s="286"/>
      <c r="D260" s="175">
        <v>45603</v>
      </c>
      <c r="E260" s="175">
        <v>45534</v>
      </c>
    </row>
    <row r="261" spans="1:5">
      <c r="A261" t="s">
        <v>917</v>
      </c>
      <c r="B261" s="286">
        <v>1</v>
      </c>
      <c r="C261" s="286"/>
      <c r="D261" s="175">
        <v>45603</v>
      </c>
      <c r="E261" s="175">
        <v>45534</v>
      </c>
    </row>
    <row r="262" spans="1:5">
      <c r="A262" t="s">
        <v>918</v>
      </c>
      <c r="B262" s="286">
        <v>1</v>
      </c>
      <c r="C262" s="286"/>
      <c r="D262" s="175">
        <v>45603</v>
      </c>
      <c r="E262" s="175">
        <v>45534</v>
      </c>
    </row>
    <row r="263" spans="1:5">
      <c r="A263" t="s">
        <v>919</v>
      </c>
      <c r="B263" s="286">
        <v>1</v>
      </c>
      <c r="C263" s="286"/>
      <c r="D263" s="175">
        <v>45603</v>
      </c>
      <c r="E263" s="175">
        <v>45534</v>
      </c>
    </row>
    <row r="264" spans="1:5">
      <c r="A264" t="s">
        <v>920</v>
      </c>
      <c r="B264" s="286">
        <v>1</v>
      </c>
      <c r="C264" s="286"/>
      <c r="D264" s="175">
        <v>45603</v>
      </c>
      <c r="E264" s="175">
        <v>45534</v>
      </c>
    </row>
    <row r="265" spans="1:5">
      <c r="A265" t="s">
        <v>921</v>
      </c>
      <c r="B265" s="286">
        <v>1</v>
      </c>
      <c r="C265" s="286"/>
      <c r="D265" s="175">
        <v>45603</v>
      </c>
      <c r="E265" s="175">
        <v>45534</v>
      </c>
    </row>
    <row r="266" spans="1:5">
      <c r="A266" t="s">
        <v>922</v>
      </c>
      <c r="B266" s="286">
        <v>1</v>
      </c>
      <c r="C266" s="286"/>
      <c r="D266" s="175">
        <v>45603</v>
      </c>
      <c r="E266" s="175">
        <v>45534</v>
      </c>
    </row>
    <row r="267" spans="1:5">
      <c r="A267" t="s">
        <v>923</v>
      </c>
      <c r="B267" s="286">
        <v>1</v>
      </c>
      <c r="C267" s="286"/>
      <c r="D267" s="175">
        <v>45603</v>
      </c>
      <c r="E267" s="175">
        <v>45534</v>
      </c>
    </row>
    <row r="268" spans="1:5">
      <c r="A268" t="s">
        <v>924</v>
      </c>
      <c r="B268" s="286">
        <v>1</v>
      </c>
      <c r="C268" s="286"/>
      <c r="D268" s="175">
        <v>45603</v>
      </c>
      <c r="E268" s="175">
        <v>45534</v>
      </c>
    </row>
    <row r="269" spans="1:5">
      <c r="A269" t="s">
        <v>925</v>
      </c>
      <c r="B269" s="286">
        <v>1</v>
      </c>
      <c r="C269" s="286"/>
      <c r="D269" s="175">
        <v>45603</v>
      </c>
      <c r="E269" s="175">
        <v>45534</v>
      </c>
    </row>
    <row r="270" spans="1:5">
      <c r="A270" t="s">
        <v>926</v>
      </c>
      <c r="B270" s="286">
        <v>1</v>
      </c>
      <c r="C270" s="286"/>
      <c r="D270" s="175">
        <v>45603</v>
      </c>
      <c r="E270" s="175">
        <v>45534</v>
      </c>
    </row>
    <row r="271" spans="1:5">
      <c r="A271" t="s">
        <v>927</v>
      </c>
      <c r="B271" s="286">
        <v>1</v>
      </c>
      <c r="C271" s="286"/>
      <c r="D271" s="175">
        <v>45603</v>
      </c>
      <c r="E271" s="175">
        <v>45534</v>
      </c>
    </row>
    <row r="272" spans="1:5">
      <c r="A272" t="s">
        <v>928</v>
      </c>
      <c r="B272" s="286">
        <v>1</v>
      </c>
      <c r="C272" s="286"/>
      <c r="D272" s="175">
        <v>45603</v>
      </c>
      <c r="E272" s="175">
        <v>45534</v>
      </c>
    </row>
    <row r="273" spans="1:5">
      <c r="A273" t="s">
        <v>929</v>
      </c>
      <c r="B273" s="286">
        <v>1</v>
      </c>
      <c r="C273" s="286"/>
      <c r="D273" s="175">
        <v>45603</v>
      </c>
      <c r="E273" s="175">
        <v>45534</v>
      </c>
    </row>
    <row r="274" spans="1:5">
      <c r="A274" t="s">
        <v>930</v>
      </c>
      <c r="B274" s="286">
        <v>1</v>
      </c>
      <c r="C274" s="286"/>
      <c r="D274" s="175">
        <v>45603</v>
      </c>
      <c r="E274" s="175">
        <v>45534</v>
      </c>
    </row>
    <row r="275" spans="1:5">
      <c r="A275" t="s">
        <v>931</v>
      </c>
      <c r="B275" s="286">
        <v>1</v>
      </c>
      <c r="C275" s="286"/>
      <c r="D275" s="175">
        <v>45603</v>
      </c>
      <c r="E275" s="175">
        <v>45534</v>
      </c>
    </row>
    <row r="276" spans="1:5">
      <c r="A276" t="s">
        <v>932</v>
      </c>
      <c r="B276" s="286">
        <v>1</v>
      </c>
      <c r="C276" s="286"/>
      <c r="D276" s="175">
        <v>45603</v>
      </c>
      <c r="E276" s="175">
        <v>45534</v>
      </c>
    </row>
    <row r="277" spans="1:5">
      <c r="A277" t="s">
        <v>933</v>
      </c>
      <c r="B277" s="286">
        <v>1</v>
      </c>
      <c r="C277" s="286"/>
      <c r="D277" s="175">
        <v>45603</v>
      </c>
      <c r="E277" s="175">
        <v>45534</v>
      </c>
    </row>
    <row r="278" spans="1:5">
      <c r="A278" t="s">
        <v>934</v>
      </c>
      <c r="B278" s="286">
        <v>1</v>
      </c>
      <c r="C278" s="286"/>
      <c r="D278" s="175">
        <v>45603</v>
      </c>
      <c r="E278" s="175">
        <v>45534</v>
      </c>
    </row>
    <row r="279" spans="1:5">
      <c r="A279" t="s">
        <v>935</v>
      </c>
      <c r="B279" s="286">
        <v>1</v>
      </c>
      <c r="C279" s="286"/>
      <c r="D279" s="175">
        <v>45603</v>
      </c>
      <c r="E279" s="175">
        <v>45534</v>
      </c>
    </row>
    <row r="280" spans="1:5">
      <c r="A280" t="s">
        <v>936</v>
      </c>
      <c r="B280" s="286">
        <v>1</v>
      </c>
      <c r="C280" s="286"/>
      <c r="D280" s="175">
        <v>45603</v>
      </c>
      <c r="E280" s="175">
        <v>45534</v>
      </c>
    </row>
    <row r="281" spans="1:5">
      <c r="A281" t="s">
        <v>937</v>
      </c>
      <c r="B281" s="286">
        <v>1</v>
      </c>
      <c r="C281" s="286"/>
      <c r="D281" s="175">
        <v>45603</v>
      </c>
      <c r="E281" s="175">
        <v>45534</v>
      </c>
    </row>
    <row r="282" spans="1:5">
      <c r="A282" t="s">
        <v>938</v>
      </c>
      <c r="B282" s="286">
        <v>1</v>
      </c>
      <c r="C282" s="286"/>
      <c r="D282" s="175">
        <v>45603</v>
      </c>
      <c r="E282" s="175">
        <v>45534</v>
      </c>
    </row>
    <row r="283" spans="1:5">
      <c r="A283" t="s">
        <v>939</v>
      </c>
      <c r="B283" s="286">
        <v>1</v>
      </c>
      <c r="C283" s="286"/>
      <c r="D283" s="175">
        <v>45603</v>
      </c>
      <c r="E283" s="175">
        <v>45534</v>
      </c>
    </row>
    <row r="284" spans="1:5">
      <c r="A284" t="s">
        <v>940</v>
      </c>
      <c r="B284" s="286">
        <v>1</v>
      </c>
      <c r="C284" s="286"/>
      <c r="D284" s="175">
        <v>45603</v>
      </c>
      <c r="E284" s="175">
        <v>45534</v>
      </c>
    </row>
    <row r="285" spans="1:5">
      <c r="A285" t="s">
        <v>941</v>
      </c>
      <c r="B285" s="286">
        <v>1</v>
      </c>
      <c r="C285" s="286"/>
      <c r="D285" s="175">
        <v>45603</v>
      </c>
      <c r="E285" s="175">
        <v>45534</v>
      </c>
    </row>
    <row r="286" spans="1:5">
      <c r="A286" t="s">
        <v>942</v>
      </c>
      <c r="B286" s="286">
        <v>1</v>
      </c>
      <c r="C286" s="286"/>
      <c r="D286" s="175">
        <v>45603</v>
      </c>
      <c r="E286" s="175">
        <v>45534</v>
      </c>
    </row>
    <row r="287" spans="1:5">
      <c r="A287" t="s">
        <v>943</v>
      </c>
      <c r="B287" s="286">
        <v>1</v>
      </c>
      <c r="C287" s="286"/>
      <c r="D287" s="175">
        <v>45603</v>
      </c>
      <c r="E287" s="175">
        <v>45534</v>
      </c>
    </row>
    <row r="288" spans="1:5">
      <c r="A288" t="s">
        <v>944</v>
      </c>
      <c r="B288" s="286">
        <v>1</v>
      </c>
      <c r="C288" s="286"/>
      <c r="D288" s="175">
        <v>45603</v>
      </c>
      <c r="E288" s="175">
        <v>45534</v>
      </c>
    </row>
    <row r="289" spans="1:5">
      <c r="A289" t="s">
        <v>945</v>
      </c>
      <c r="B289" s="286">
        <v>1</v>
      </c>
      <c r="C289" s="286"/>
      <c r="D289" s="175">
        <v>45603</v>
      </c>
      <c r="E289" s="286"/>
    </row>
    <row r="290" spans="1:5">
      <c r="A290" t="s">
        <v>946</v>
      </c>
      <c r="B290" s="286">
        <v>1</v>
      </c>
      <c r="C290" s="286"/>
      <c r="D290" s="175">
        <v>45603</v>
      </c>
      <c r="E290" s="286"/>
    </row>
    <row r="291" spans="1:5">
      <c r="A291" t="s">
        <v>947</v>
      </c>
      <c r="B291" s="286">
        <v>1</v>
      </c>
      <c r="C291" s="286"/>
      <c r="D291" s="175">
        <v>45603</v>
      </c>
      <c r="E291" s="286"/>
    </row>
    <row r="292" spans="1:5">
      <c r="A292" t="s">
        <v>948</v>
      </c>
      <c r="B292" s="286">
        <v>1</v>
      </c>
      <c r="C292" s="286"/>
      <c r="D292" s="175">
        <v>45603</v>
      </c>
      <c r="E292" s="286"/>
    </row>
    <row r="293" spans="1:5">
      <c r="A293" t="s">
        <v>949</v>
      </c>
      <c r="B293" s="286">
        <v>1</v>
      </c>
      <c r="C293" s="286"/>
      <c r="D293" s="175">
        <v>45603</v>
      </c>
      <c r="E293" s="286"/>
    </row>
    <row r="294" spans="1:5">
      <c r="A294" t="s">
        <v>950</v>
      </c>
      <c r="B294" s="286">
        <v>1</v>
      </c>
      <c r="C294" s="286"/>
      <c r="D294" s="175">
        <v>45603</v>
      </c>
      <c r="E294" s="286"/>
    </row>
    <row r="295" spans="1:5">
      <c r="A295" t="s">
        <v>951</v>
      </c>
      <c r="B295" s="286">
        <v>1</v>
      </c>
      <c r="C295" s="286"/>
      <c r="D295" s="175">
        <v>45603</v>
      </c>
      <c r="E295" s="286"/>
    </row>
    <row r="296" spans="1:5">
      <c r="A296" t="s">
        <v>952</v>
      </c>
      <c r="B296" s="286">
        <v>1</v>
      </c>
      <c r="C296" s="286"/>
      <c r="D296" s="286"/>
      <c r="E296" s="286"/>
    </row>
    <row r="297" spans="1:5">
      <c r="A297" t="s">
        <v>953</v>
      </c>
      <c r="B297" s="286">
        <v>1</v>
      </c>
      <c r="C297" s="286"/>
      <c r="D297" s="286"/>
      <c r="E297" s="286"/>
    </row>
    <row r="298" spans="1:5">
      <c r="A298" t="s">
        <v>954</v>
      </c>
      <c r="B298" s="286">
        <v>1</v>
      </c>
      <c r="C298" s="286"/>
      <c r="D298" s="286"/>
      <c r="E298" s="286"/>
    </row>
    <row r="299" spans="1:5">
      <c r="A299" t="s">
        <v>955</v>
      </c>
      <c r="B299" s="286">
        <v>1</v>
      </c>
      <c r="C299" s="286"/>
      <c r="D299" s="286"/>
      <c r="E299" s="286"/>
    </row>
    <row r="300" spans="1:5">
      <c r="A300" t="s">
        <v>956</v>
      </c>
      <c r="B300" s="286">
        <v>7</v>
      </c>
      <c r="C300" s="175">
        <v>45569</v>
      </c>
      <c r="D300" s="175">
        <v>45621</v>
      </c>
      <c r="E300" s="286"/>
    </row>
    <row r="301" spans="1:5">
      <c r="A301" t="s">
        <v>957</v>
      </c>
      <c r="B301" s="286">
        <v>7</v>
      </c>
      <c r="C301" s="175">
        <v>45569</v>
      </c>
      <c r="D301" s="175">
        <v>45621</v>
      </c>
      <c r="E301" s="286"/>
    </row>
    <row r="302" spans="1:5">
      <c r="A302" t="s">
        <v>958</v>
      </c>
      <c r="B302" s="286">
        <v>1</v>
      </c>
      <c r="C302" s="286"/>
      <c r="D302" s="286"/>
      <c r="E302" s="286"/>
    </row>
    <row r="303" spans="1:5">
      <c r="A303" t="s">
        <v>959</v>
      </c>
      <c r="B303" s="286">
        <v>7</v>
      </c>
      <c r="C303" s="175">
        <v>45569</v>
      </c>
      <c r="D303" s="175">
        <v>45621</v>
      </c>
      <c r="E303" s="286"/>
    </row>
    <row r="304" spans="1:5">
      <c r="A304" t="s">
        <v>960</v>
      </c>
      <c r="B304" s="286">
        <v>7</v>
      </c>
      <c r="C304" s="175">
        <v>45569</v>
      </c>
      <c r="D304" s="175">
        <v>45621</v>
      </c>
      <c r="E304" s="286"/>
    </row>
    <row r="305" spans="1:5">
      <c r="A305" t="s">
        <v>961</v>
      </c>
      <c r="B305" s="286">
        <v>1</v>
      </c>
      <c r="C305" s="175">
        <v>45604</v>
      </c>
      <c r="D305" s="175">
        <v>45600</v>
      </c>
      <c r="E305" s="175">
        <v>45601</v>
      </c>
    </row>
    <row r="306" spans="1:5">
      <c r="A306" t="s">
        <v>962</v>
      </c>
      <c r="B306" s="286">
        <v>1</v>
      </c>
      <c r="C306" s="175">
        <v>45604</v>
      </c>
      <c r="D306" s="175">
        <v>45600</v>
      </c>
      <c r="E306" s="175">
        <v>45601</v>
      </c>
    </row>
    <row r="307" spans="1:5">
      <c r="A307" t="s">
        <v>963</v>
      </c>
      <c r="B307" s="286">
        <v>1</v>
      </c>
      <c r="C307" s="175">
        <v>45569</v>
      </c>
      <c r="D307" s="175">
        <v>45600</v>
      </c>
      <c r="E307" s="175">
        <v>45601</v>
      </c>
    </row>
    <row r="308" spans="1:5">
      <c r="A308" t="s">
        <v>964</v>
      </c>
      <c r="B308" s="286">
        <v>1</v>
      </c>
      <c r="C308" s="286"/>
      <c r="D308" s="286"/>
      <c r="E308" s="286"/>
    </row>
    <row r="309" spans="1:5">
      <c r="A309" t="s">
        <v>965</v>
      </c>
      <c r="B309" s="286">
        <v>1</v>
      </c>
      <c r="C309" s="175">
        <v>45604</v>
      </c>
      <c r="D309" s="175">
        <v>45600</v>
      </c>
      <c r="E309" s="175">
        <v>45601</v>
      </c>
    </row>
    <row r="310" spans="1:5">
      <c r="A310" t="s">
        <v>966</v>
      </c>
      <c r="B310" s="286">
        <v>1</v>
      </c>
      <c r="C310" s="175">
        <v>45604</v>
      </c>
      <c r="D310" s="175">
        <v>45600</v>
      </c>
      <c r="E310" s="175">
        <v>45601</v>
      </c>
    </row>
    <row r="311" spans="1:5">
      <c r="A311" t="s">
        <v>967</v>
      </c>
      <c r="B311" s="286">
        <v>1</v>
      </c>
      <c r="C311" s="286"/>
      <c r="D311" s="286"/>
      <c r="E311" s="286"/>
    </row>
    <row r="312" spans="1:5">
      <c r="A312" t="s">
        <v>968</v>
      </c>
      <c r="B312" s="286">
        <v>1</v>
      </c>
      <c r="C312" s="175">
        <v>45604</v>
      </c>
      <c r="D312" s="175">
        <v>45600</v>
      </c>
      <c r="E312" s="175">
        <v>45601</v>
      </c>
    </row>
    <row r="313" spans="1:5">
      <c r="A313" t="s">
        <v>969</v>
      </c>
      <c r="B313" s="286">
        <v>1</v>
      </c>
      <c r="C313" s="175">
        <v>45604</v>
      </c>
      <c r="D313" s="175">
        <v>45600</v>
      </c>
      <c r="E313" s="175">
        <v>45601</v>
      </c>
    </row>
    <row r="314" spans="1:5">
      <c r="A314" t="s">
        <v>970</v>
      </c>
      <c r="B314" s="286">
        <v>1</v>
      </c>
      <c r="C314" s="175">
        <v>45569</v>
      </c>
      <c r="D314" s="175">
        <v>45600</v>
      </c>
      <c r="E314" s="175">
        <v>45601</v>
      </c>
    </row>
    <row r="315" spans="1:5">
      <c r="A315" t="s">
        <v>971</v>
      </c>
      <c r="B315" s="286">
        <v>2</v>
      </c>
      <c r="C315" s="175">
        <v>45561</v>
      </c>
      <c r="D315" s="175">
        <v>45614</v>
      </c>
      <c r="E315" s="175">
        <v>45615</v>
      </c>
    </row>
    <row r="316" spans="1:5">
      <c r="A316" t="s">
        <v>972</v>
      </c>
      <c r="B316" s="286">
        <v>2</v>
      </c>
      <c r="C316" s="175">
        <v>45561</v>
      </c>
      <c r="D316" s="175">
        <v>45614</v>
      </c>
      <c r="E316" s="175">
        <v>45615</v>
      </c>
    </row>
    <row r="317" spans="1:5">
      <c r="A317" t="s">
        <v>973</v>
      </c>
      <c r="B317" s="286">
        <v>2</v>
      </c>
      <c r="C317" s="175">
        <v>45561</v>
      </c>
      <c r="D317" s="175">
        <v>45614</v>
      </c>
      <c r="E317" s="175">
        <v>45615</v>
      </c>
    </row>
    <row r="318" spans="1:5">
      <c r="A318" t="s">
        <v>974</v>
      </c>
      <c r="B318" s="286">
        <v>2</v>
      </c>
      <c r="C318" s="175">
        <v>45561</v>
      </c>
      <c r="D318" s="175">
        <v>45614</v>
      </c>
      <c r="E318" s="175">
        <v>45615</v>
      </c>
    </row>
    <row r="319" spans="1:5">
      <c r="A319" t="s">
        <v>975</v>
      </c>
      <c r="B319" s="286">
        <v>2</v>
      </c>
      <c r="C319" s="175">
        <v>45561</v>
      </c>
      <c r="D319" s="175">
        <v>45614</v>
      </c>
      <c r="E319" s="175">
        <v>45615</v>
      </c>
    </row>
    <row r="320" spans="1:5">
      <c r="A320" t="s">
        <v>976</v>
      </c>
      <c r="B320" s="286">
        <v>2</v>
      </c>
      <c r="C320" s="175">
        <v>45561</v>
      </c>
      <c r="D320" s="175">
        <v>45614</v>
      </c>
      <c r="E320" s="175">
        <v>45615</v>
      </c>
    </row>
    <row r="321" spans="1:5">
      <c r="A321" t="s">
        <v>977</v>
      </c>
      <c r="B321" s="286">
        <v>2</v>
      </c>
      <c r="C321" s="175">
        <v>45561</v>
      </c>
      <c r="D321" s="175">
        <v>45614</v>
      </c>
      <c r="E321" s="175">
        <v>45615</v>
      </c>
    </row>
    <row r="322" spans="1:5">
      <c r="A322" t="s">
        <v>978</v>
      </c>
      <c r="B322" s="286">
        <v>2</v>
      </c>
      <c r="C322" s="175">
        <v>45561</v>
      </c>
      <c r="D322" s="175">
        <v>45614</v>
      </c>
      <c r="E322" s="175">
        <v>45615</v>
      </c>
    </row>
    <row r="323" spans="1:5">
      <c r="A323" t="s">
        <v>979</v>
      </c>
      <c r="B323" s="286">
        <v>2</v>
      </c>
      <c r="C323" s="175">
        <v>45561</v>
      </c>
      <c r="D323" s="175">
        <v>45614</v>
      </c>
      <c r="E323" s="175">
        <v>45615</v>
      </c>
    </row>
    <row r="324" spans="1:5">
      <c r="A324" t="s">
        <v>980</v>
      </c>
      <c r="B324" s="286">
        <v>2</v>
      </c>
      <c r="C324" s="175">
        <v>45561</v>
      </c>
      <c r="D324" s="175">
        <v>45614</v>
      </c>
      <c r="E324" s="175">
        <v>45615</v>
      </c>
    </row>
    <row r="325" spans="1:5">
      <c r="A325" t="s">
        <v>981</v>
      </c>
      <c r="B325" s="286">
        <v>2</v>
      </c>
      <c r="C325" s="175">
        <v>45561</v>
      </c>
      <c r="D325" s="175">
        <v>45614</v>
      </c>
      <c r="E325" s="175">
        <v>45615</v>
      </c>
    </row>
    <row r="326" spans="1:5">
      <c r="A326" t="s">
        <v>982</v>
      </c>
      <c r="B326" s="286">
        <v>2</v>
      </c>
      <c r="C326" s="175">
        <v>45561</v>
      </c>
      <c r="D326" s="175">
        <v>45614</v>
      </c>
      <c r="E326" s="175">
        <v>45615</v>
      </c>
    </row>
    <row r="327" spans="1:5">
      <c r="A327" t="s">
        <v>983</v>
      </c>
      <c r="B327" s="286">
        <v>2</v>
      </c>
      <c r="C327" s="175">
        <v>45561</v>
      </c>
      <c r="D327" s="175">
        <v>45614</v>
      </c>
      <c r="E327" s="175">
        <v>45615</v>
      </c>
    </row>
    <row r="328" spans="1:5">
      <c r="A328" t="s">
        <v>984</v>
      </c>
      <c r="B328" s="286">
        <v>2</v>
      </c>
      <c r="C328" s="175">
        <v>45561</v>
      </c>
      <c r="D328" s="175">
        <v>45614</v>
      </c>
      <c r="E328" s="175">
        <v>45615</v>
      </c>
    </row>
    <row r="329" spans="1:5">
      <c r="A329" t="s">
        <v>985</v>
      </c>
      <c r="B329" s="286">
        <v>2</v>
      </c>
      <c r="C329" s="175">
        <v>45561</v>
      </c>
      <c r="D329" s="175">
        <v>45614</v>
      </c>
      <c r="E329" s="175">
        <v>45615</v>
      </c>
    </row>
    <row r="330" spans="1:5">
      <c r="A330" t="s">
        <v>986</v>
      </c>
      <c r="B330" s="286">
        <v>2</v>
      </c>
      <c r="C330" s="175">
        <v>45553</v>
      </c>
      <c r="D330" s="175">
        <v>45614</v>
      </c>
      <c r="E330" s="175">
        <v>45615</v>
      </c>
    </row>
    <row r="331" spans="1:5">
      <c r="A331" t="s">
        <v>987</v>
      </c>
      <c r="B331" s="286">
        <v>2</v>
      </c>
      <c r="C331" s="175">
        <v>45553</v>
      </c>
      <c r="D331" s="175">
        <v>45614</v>
      </c>
      <c r="E331" s="175">
        <v>45615</v>
      </c>
    </row>
    <row r="332" spans="1:5">
      <c r="A332" t="s">
        <v>988</v>
      </c>
      <c r="B332" s="286">
        <v>7</v>
      </c>
      <c r="C332" s="175">
        <v>45569</v>
      </c>
      <c r="D332" s="175">
        <v>45624</v>
      </c>
      <c r="E332" s="286"/>
    </row>
    <row r="333" spans="1:5">
      <c r="A333" t="s">
        <v>989</v>
      </c>
      <c r="B333" s="286">
        <v>7</v>
      </c>
      <c r="C333" s="175">
        <v>45569</v>
      </c>
      <c r="D333" s="175">
        <v>45624</v>
      </c>
      <c r="E333" s="286"/>
    </row>
    <row r="334" spans="1:5">
      <c r="A334" t="s">
        <v>990</v>
      </c>
      <c r="B334" s="286">
        <v>1</v>
      </c>
      <c r="C334" s="175">
        <v>45512</v>
      </c>
      <c r="D334" s="286"/>
      <c r="E334" s="286"/>
    </row>
    <row r="335" spans="1:5">
      <c r="A335" t="s">
        <v>991</v>
      </c>
      <c r="B335" s="286">
        <v>2</v>
      </c>
      <c r="C335" s="175">
        <v>45569</v>
      </c>
      <c r="D335" s="175">
        <v>45614</v>
      </c>
      <c r="E335" s="175">
        <v>45615</v>
      </c>
    </row>
    <row r="336" spans="1:5">
      <c r="A336" t="s">
        <v>992</v>
      </c>
      <c r="B336" s="286">
        <v>2</v>
      </c>
      <c r="C336" s="175">
        <v>45553</v>
      </c>
      <c r="D336" s="175">
        <v>45614</v>
      </c>
      <c r="E336" s="175">
        <v>45615</v>
      </c>
    </row>
    <row r="337" spans="1:5">
      <c r="A337" t="s">
        <v>993</v>
      </c>
      <c r="B337" s="286">
        <v>2</v>
      </c>
      <c r="C337" s="175">
        <v>45553</v>
      </c>
      <c r="D337" s="175">
        <v>45614</v>
      </c>
      <c r="E337" s="175">
        <v>45615</v>
      </c>
    </row>
    <row r="338" spans="1:5">
      <c r="A338" t="s">
        <v>994</v>
      </c>
      <c r="B338" s="286">
        <v>7</v>
      </c>
      <c r="C338" s="175">
        <v>45569</v>
      </c>
      <c r="D338" s="175">
        <v>45624</v>
      </c>
      <c r="E338" s="286"/>
    </row>
    <row r="339" spans="1:5">
      <c r="A339" t="s">
        <v>995</v>
      </c>
      <c r="B339" s="286">
        <v>7</v>
      </c>
      <c r="C339" s="175">
        <v>45569</v>
      </c>
      <c r="D339" s="175">
        <v>45624</v>
      </c>
      <c r="E339" s="286"/>
    </row>
    <row r="340" spans="1:5">
      <c r="A340" t="s">
        <v>996</v>
      </c>
      <c r="B340" s="286">
        <v>7</v>
      </c>
      <c r="C340" s="175">
        <v>45569</v>
      </c>
      <c r="D340" s="175">
        <v>45621</v>
      </c>
      <c r="E340" s="286"/>
    </row>
    <row r="341" spans="1:5">
      <c r="A341" t="s">
        <v>997</v>
      </c>
      <c r="B341" s="286">
        <v>7</v>
      </c>
      <c r="C341" s="175">
        <v>45569</v>
      </c>
      <c r="D341" s="175">
        <v>45621</v>
      </c>
      <c r="E341" s="286"/>
    </row>
    <row r="342" spans="1:5">
      <c r="A342" t="s">
        <v>998</v>
      </c>
      <c r="B342" s="286">
        <v>7</v>
      </c>
      <c r="C342" s="175">
        <v>45569</v>
      </c>
      <c r="D342" s="175">
        <v>45621</v>
      </c>
      <c r="E342" s="286"/>
    </row>
    <row r="343" spans="1:5">
      <c r="A343" t="s">
        <v>999</v>
      </c>
      <c r="B343" s="286">
        <v>1</v>
      </c>
      <c r="C343" s="286"/>
      <c r="D343" s="286"/>
      <c r="E343" s="286"/>
    </row>
    <row r="344" spans="1:5">
      <c r="A344" t="s">
        <v>1000</v>
      </c>
      <c r="B344" s="286">
        <v>7</v>
      </c>
      <c r="C344" s="175">
        <v>45569</v>
      </c>
      <c r="D344" s="175">
        <v>45621</v>
      </c>
      <c r="E344" s="286"/>
    </row>
    <row r="345" spans="1:5">
      <c r="A345" t="s">
        <v>1001</v>
      </c>
      <c r="B345" s="286">
        <v>7</v>
      </c>
      <c r="C345" s="175">
        <v>45569</v>
      </c>
      <c r="D345" s="175">
        <v>45621</v>
      </c>
      <c r="E345" s="286"/>
    </row>
    <row r="346" spans="1:5">
      <c r="A346" t="s">
        <v>1002</v>
      </c>
      <c r="B346" s="286">
        <v>7</v>
      </c>
      <c r="C346" s="175">
        <v>45569</v>
      </c>
      <c r="D346" s="175">
        <v>45621</v>
      </c>
      <c r="E346" s="286"/>
    </row>
    <row r="347" spans="1:5">
      <c r="A347" t="s">
        <v>1003</v>
      </c>
      <c r="B347" s="286">
        <v>1</v>
      </c>
      <c r="C347" s="286"/>
      <c r="D347" s="286"/>
      <c r="E347" s="286"/>
    </row>
    <row r="348" spans="1:5">
      <c r="A348" t="s">
        <v>1004</v>
      </c>
      <c r="B348" s="286">
        <v>1</v>
      </c>
      <c r="C348" s="286"/>
      <c r="D348" s="286"/>
      <c r="E348" s="286"/>
    </row>
    <row r="349" spans="1:5">
      <c r="A349" t="s">
        <v>1005</v>
      </c>
      <c r="B349" s="286">
        <v>1</v>
      </c>
      <c r="C349" s="286"/>
      <c r="D349" s="286"/>
      <c r="E349" s="286"/>
    </row>
    <row r="350" spans="1:5">
      <c r="A350" t="s">
        <v>1006</v>
      </c>
      <c r="B350" s="286">
        <v>1</v>
      </c>
      <c r="C350" s="286"/>
      <c r="D350" s="286"/>
      <c r="E350" s="286"/>
    </row>
    <row r="351" spans="1:5">
      <c r="A351" t="s">
        <v>1007</v>
      </c>
      <c r="B351" s="286">
        <v>1</v>
      </c>
      <c r="C351" s="286"/>
      <c r="D351" s="286"/>
      <c r="E351" s="286"/>
    </row>
    <row r="352" spans="1:5">
      <c r="A352" t="s">
        <v>1008</v>
      </c>
      <c r="B352" s="286">
        <v>2</v>
      </c>
      <c r="C352" s="175">
        <v>45559</v>
      </c>
      <c r="D352" s="175">
        <v>45607</v>
      </c>
      <c r="E352" s="175">
        <v>45608</v>
      </c>
    </row>
    <row r="353" spans="1:5">
      <c r="A353" t="s">
        <v>1009</v>
      </c>
      <c r="B353" s="286">
        <v>2</v>
      </c>
      <c r="C353" s="175">
        <v>45560</v>
      </c>
      <c r="D353" s="175">
        <v>45607</v>
      </c>
      <c r="E353" s="175">
        <v>45608</v>
      </c>
    </row>
    <row r="354" spans="1:5">
      <c r="A354" t="s">
        <v>1010</v>
      </c>
      <c r="B354" s="286">
        <v>6</v>
      </c>
      <c r="C354" s="175">
        <v>45622</v>
      </c>
      <c r="D354" s="175">
        <v>45607</v>
      </c>
      <c r="E354" s="175">
        <v>45608</v>
      </c>
    </row>
    <row r="355" spans="1:5">
      <c r="A355" t="s">
        <v>1011</v>
      </c>
      <c r="B355" s="286">
        <v>6</v>
      </c>
      <c r="C355" s="175">
        <v>45622</v>
      </c>
      <c r="D355" s="175">
        <v>45607</v>
      </c>
      <c r="E355" s="175">
        <v>45608</v>
      </c>
    </row>
    <row r="356" spans="1:5">
      <c r="A356" t="s">
        <v>1012</v>
      </c>
      <c r="B356" s="286">
        <v>1</v>
      </c>
      <c r="C356" s="175">
        <v>45569</v>
      </c>
      <c r="D356" s="175">
        <v>45607</v>
      </c>
      <c r="E356" s="175">
        <v>45608</v>
      </c>
    </row>
    <row r="357" spans="1:5">
      <c r="A357" t="s">
        <v>1013</v>
      </c>
      <c r="B357" s="286">
        <v>1</v>
      </c>
      <c r="C357" s="286"/>
      <c r="D357" s="286"/>
      <c r="E357" s="286"/>
    </row>
    <row r="358" spans="1:5">
      <c r="A358" t="s">
        <v>1014</v>
      </c>
      <c r="B358" s="286">
        <v>6</v>
      </c>
      <c r="C358" s="175">
        <v>45622</v>
      </c>
      <c r="D358" s="175">
        <v>45607</v>
      </c>
      <c r="E358" s="175">
        <v>45608</v>
      </c>
    </row>
    <row r="359" spans="1:5">
      <c r="A359" t="s">
        <v>1015</v>
      </c>
      <c r="B359" s="286">
        <v>6</v>
      </c>
      <c r="C359" s="175">
        <v>45622</v>
      </c>
      <c r="D359" s="175">
        <v>45607</v>
      </c>
      <c r="E359" s="175">
        <v>45608</v>
      </c>
    </row>
    <row r="360" spans="1:5">
      <c r="A360" t="s">
        <v>1016</v>
      </c>
      <c r="B360" s="286">
        <v>1</v>
      </c>
      <c r="C360" s="175">
        <v>45569</v>
      </c>
      <c r="D360" s="175">
        <v>45607</v>
      </c>
      <c r="E360" s="175">
        <v>45608</v>
      </c>
    </row>
    <row r="361" spans="1:5">
      <c r="A361" t="s">
        <v>1017</v>
      </c>
      <c r="B361" s="286">
        <v>1</v>
      </c>
      <c r="C361" s="286"/>
      <c r="D361" s="286"/>
      <c r="E361" s="286"/>
    </row>
    <row r="362" spans="1:5">
      <c r="A362" t="s">
        <v>1018</v>
      </c>
      <c r="B362" s="286">
        <v>1</v>
      </c>
      <c r="C362" s="286"/>
      <c r="D362" s="286"/>
      <c r="E362" s="286"/>
    </row>
    <row r="363" spans="1:5">
      <c r="A363" t="s">
        <v>1019</v>
      </c>
      <c r="B363" s="286">
        <v>1</v>
      </c>
      <c r="C363" s="286"/>
      <c r="D363" s="286"/>
      <c r="E363" s="286"/>
    </row>
    <row r="364" spans="1:5">
      <c r="A364" t="s">
        <v>1020</v>
      </c>
      <c r="B364" s="286">
        <v>7</v>
      </c>
      <c r="C364" s="175">
        <v>45563</v>
      </c>
      <c r="D364" s="175">
        <v>45624</v>
      </c>
      <c r="E364" s="286"/>
    </row>
    <row r="365" spans="1:5">
      <c r="A365" t="s">
        <v>1021</v>
      </c>
      <c r="B365" s="286">
        <v>7</v>
      </c>
      <c r="C365" s="175">
        <v>45563</v>
      </c>
      <c r="D365" s="175">
        <v>45624</v>
      </c>
      <c r="E365" s="286"/>
    </row>
    <row r="366" spans="1:5">
      <c r="A366" t="s">
        <v>1022</v>
      </c>
      <c r="B366" s="286">
        <v>7</v>
      </c>
      <c r="C366" s="175">
        <v>45563</v>
      </c>
      <c r="D366" s="175">
        <v>45624</v>
      </c>
      <c r="E366" s="286"/>
    </row>
    <row r="367" spans="1:5">
      <c r="A367" t="s">
        <v>1023</v>
      </c>
      <c r="B367" s="286">
        <v>7</v>
      </c>
      <c r="C367" s="175">
        <v>45563</v>
      </c>
      <c r="D367" s="175">
        <v>45624</v>
      </c>
      <c r="E367" s="286"/>
    </row>
    <row r="368" spans="1:5">
      <c r="A368" t="s">
        <v>1024</v>
      </c>
      <c r="B368" s="286">
        <v>7</v>
      </c>
      <c r="C368" s="175">
        <v>45563</v>
      </c>
      <c r="D368" s="175">
        <v>45624</v>
      </c>
      <c r="E368" s="286"/>
    </row>
    <row r="369" spans="1:5">
      <c r="A369" t="s">
        <v>1025</v>
      </c>
      <c r="B369" s="286">
        <v>7</v>
      </c>
      <c r="C369" s="175">
        <v>45563</v>
      </c>
      <c r="D369" s="175">
        <v>45624</v>
      </c>
      <c r="E369" s="286"/>
    </row>
    <row r="370" spans="1:5">
      <c r="A370" t="s">
        <v>1026</v>
      </c>
      <c r="B370" s="286">
        <v>7</v>
      </c>
      <c r="C370" s="175">
        <v>45562</v>
      </c>
      <c r="D370" s="175">
        <v>45624</v>
      </c>
      <c r="E370" s="286"/>
    </row>
    <row r="371" spans="1:5">
      <c r="A371" t="s">
        <v>1027</v>
      </c>
      <c r="B371" s="286">
        <v>7</v>
      </c>
      <c r="C371" s="175">
        <v>45563</v>
      </c>
      <c r="D371" s="175">
        <v>45624</v>
      </c>
      <c r="E371" s="286"/>
    </row>
    <row r="372" spans="1:5">
      <c r="A372" t="s">
        <v>1028</v>
      </c>
      <c r="B372" s="286">
        <v>7</v>
      </c>
      <c r="C372" s="175">
        <v>45563</v>
      </c>
      <c r="D372" s="175">
        <v>45624</v>
      </c>
      <c r="E372" s="286"/>
    </row>
    <row r="373" spans="1:5">
      <c r="A373" t="s">
        <v>1029</v>
      </c>
      <c r="B373" s="286">
        <v>7</v>
      </c>
      <c r="C373" s="175">
        <v>45563</v>
      </c>
      <c r="D373" s="175">
        <v>45624</v>
      </c>
      <c r="E373" s="286"/>
    </row>
    <row r="374" spans="1:5">
      <c r="A374" t="s">
        <v>1030</v>
      </c>
      <c r="B374" s="286">
        <v>7</v>
      </c>
      <c r="C374" s="175">
        <v>45563</v>
      </c>
      <c r="D374" s="175">
        <v>45624</v>
      </c>
      <c r="E374" s="286"/>
    </row>
    <row r="375" spans="1:5">
      <c r="A375" t="s">
        <v>1031</v>
      </c>
      <c r="B375" s="286">
        <v>0</v>
      </c>
      <c r="C375" s="175">
        <v>45562</v>
      </c>
      <c r="D375" s="286"/>
      <c r="E375" s="286"/>
    </row>
    <row r="376" spans="1:5">
      <c r="A376" t="s">
        <v>1032</v>
      </c>
      <c r="B376" s="286">
        <v>1</v>
      </c>
      <c r="C376" s="286"/>
      <c r="D376" s="286"/>
      <c r="E376" s="286"/>
    </row>
    <row r="377" spans="1:5">
      <c r="A377" t="s">
        <v>1033</v>
      </c>
      <c r="B377" s="286">
        <v>7</v>
      </c>
      <c r="C377" s="175">
        <v>45561</v>
      </c>
      <c r="D377" s="175">
        <v>45624</v>
      </c>
      <c r="E377" s="286"/>
    </row>
    <row r="378" spans="1:5">
      <c r="A378" t="s">
        <v>1034</v>
      </c>
      <c r="B378" s="286">
        <v>7</v>
      </c>
      <c r="C378" s="175">
        <v>45561</v>
      </c>
      <c r="D378" s="175">
        <v>45624</v>
      </c>
      <c r="E378" s="286"/>
    </row>
    <row r="379" spans="1:5">
      <c r="A379" t="s">
        <v>1035</v>
      </c>
      <c r="B379" s="286">
        <v>1</v>
      </c>
      <c r="C379" s="286"/>
      <c r="D379" s="175">
        <v>45603</v>
      </c>
      <c r="E379" s="286"/>
    </row>
    <row r="380" spans="1:5">
      <c r="A380" t="s">
        <v>1036</v>
      </c>
      <c r="B380" s="286">
        <v>1</v>
      </c>
      <c r="C380" s="286"/>
      <c r="D380" s="175">
        <v>45603</v>
      </c>
      <c r="E380" s="286"/>
    </row>
    <row r="381" spans="1:5">
      <c r="A381" t="s">
        <v>1037</v>
      </c>
      <c r="B381" s="286">
        <v>1</v>
      </c>
      <c r="C381" s="175">
        <v>45563</v>
      </c>
      <c r="D381" s="175">
        <v>45603</v>
      </c>
      <c r="E381" s="175">
        <v>45604</v>
      </c>
    </row>
    <row r="382" spans="1:5">
      <c r="A382" t="s">
        <v>1038</v>
      </c>
      <c r="B382" s="286">
        <v>1</v>
      </c>
      <c r="C382" s="286"/>
      <c r="D382" s="175">
        <v>45603</v>
      </c>
      <c r="E382" s="286"/>
    </row>
    <row r="383" spans="1:5">
      <c r="A383" t="s">
        <v>1039</v>
      </c>
      <c r="B383" s="286">
        <v>1</v>
      </c>
      <c r="C383" s="286"/>
      <c r="D383" s="175">
        <v>45603</v>
      </c>
      <c r="E383" s="286"/>
    </row>
    <row r="384" spans="1:5">
      <c r="A384" t="s">
        <v>1040</v>
      </c>
      <c r="B384" s="286">
        <v>1</v>
      </c>
      <c r="C384" s="286"/>
      <c r="D384" s="175">
        <v>45603</v>
      </c>
      <c r="E384" s="286"/>
    </row>
    <row r="385" spans="1:5">
      <c r="A385" t="s">
        <v>1041</v>
      </c>
      <c r="B385" s="286">
        <v>1</v>
      </c>
      <c r="C385" s="286"/>
      <c r="D385" s="175">
        <v>45603</v>
      </c>
      <c r="E385" s="286"/>
    </row>
    <row r="386" spans="1:5">
      <c r="A386" t="s">
        <v>1042</v>
      </c>
      <c r="B386" s="286">
        <v>1</v>
      </c>
      <c r="C386" s="286"/>
      <c r="D386" s="175">
        <v>45603</v>
      </c>
      <c r="E386" s="286"/>
    </row>
    <row r="387" spans="1:5">
      <c r="A387" t="s">
        <v>1043</v>
      </c>
      <c r="B387" s="286">
        <v>1</v>
      </c>
      <c r="C387" s="286"/>
      <c r="D387" s="175">
        <v>45603</v>
      </c>
      <c r="E387" s="286"/>
    </row>
    <row r="388" spans="1:5">
      <c r="A388" t="s">
        <v>1044</v>
      </c>
      <c r="B388" s="286">
        <v>1</v>
      </c>
      <c r="C388" s="175">
        <v>45563</v>
      </c>
      <c r="D388" s="175">
        <v>45603</v>
      </c>
      <c r="E388" s="175">
        <v>45604</v>
      </c>
    </row>
    <row r="389" spans="1:5">
      <c r="A389" t="s">
        <v>1045</v>
      </c>
      <c r="B389" s="286">
        <v>1</v>
      </c>
      <c r="C389" s="175">
        <v>45563</v>
      </c>
      <c r="D389" s="175">
        <v>45603</v>
      </c>
      <c r="E389" s="175">
        <v>45604</v>
      </c>
    </row>
    <row r="390" spans="1:5">
      <c r="A390" t="s">
        <v>1046</v>
      </c>
      <c r="B390" s="286">
        <v>1</v>
      </c>
      <c r="C390" s="175">
        <v>45563</v>
      </c>
      <c r="D390" s="175">
        <v>45603</v>
      </c>
      <c r="E390" s="175">
        <v>45604</v>
      </c>
    </row>
    <row r="391" spans="1:5">
      <c r="A391" t="s">
        <v>1047</v>
      </c>
      <c r="B391" s="286">
        <v>1</v>
      </c>
      <c r="C391" s="175">
        <v>45561</v>
      </c>
      <c r="D391" s="175">
        <v>45603</v>
      </c>
      <c r="E391" s="175">
        <v>45604</v>
      </c>
    </row>
    <row r="392" spans="1:5">
      <c r="A392" t="s">
        <v>1048</v>
      </c>
      <c r="B392" s="286">
        <v>1</v>
      </c>
      <c r="C392" s="175">
        <v>45561</v>
      </c>
      <c r="D392" s="175">
        <v>45603</v>
      </c>
      <c r="E392" s="175">
        <v>45604</v>
      </c>
    </row>
    <row r="393" spans="1:5">
      <c r="A393" t="s">
        <v>1049</v>
      </c>
      <c r="B393" s="286">
        <v>1</v>
      </c>
      <c r="C393" s="286"/>
      <c r="D393" s="175">
        <v>45603</v>
      </c>
      <c r="E393" s="286"/>
    </row>
    <row r="394" spans="1:5">
      <c r="A394" t="s">
        <v>1050</v>
      </c>
      <c r="B394" s="286">
        <v>1</v>
      </c>
      <c r="C394" s="286"/>
      <c r="D394" s="175">
        <v>45603</v>
      </c>
      <c r="E394" s="286"/>
    </row>
    <row r="395" spans="1:5">
      <c r="A395" t="s">
        <v>1051</v>
      </c>
      <c r="B395" s="286">
        <v>1</v>
      </c>
      <c r="C395" s="286"/>
      <c r="D395" s="175">
        <v>45603</v>
      </c>
      <c r="E395" s="286"/>
    </row>
    <row r="396" spans="1:5">
      <c r="A396" t="s">
        <v>1052</v>
      </c>
      <c r="B396" s="286">
        <v>1</v>
      </c>
      <c r="C396" s="175">
        <v>45563</v>
      </c>
      <c r="D396" s="175">
        <v>45603</v>
      </c>
      <c r="E396" s="175">
        <v>45604</v>
      </c>
    </row>
    <row r="397" spans="1:5">
      <c r="A397" t="s">
        <v>1053</v>
      </c>
      <c r="B397" s="286">
        <v>1</v>
      </c>
      <c r="C397" s="175">
        <v>45563</v>
      </c>
      <c r="D397" s="175">
        <v>45603</v>
      </c>
      <c r="E397" s="175">
        <v>45604</v>
      </c>
    </row>
    <row r="398" spans="1:5">
      <c r="A398" t="s">
        <v>1054</v>
      </c>
      <c r="B398" s="286">
        <v>1</v>
      </c>
      <c r="C398" s="175">
        <v>45563</v>
      </c>
      <c r="D398" s="175">
        <v>45603</v>
      </c>
      <c r="E398" s="175">
        <v>45604</v>
      </c>
    </row>
    <row r="399" spans="1:5">
      <c r="A399" t="s">
        <v>1055</v>
      </c>
      <c r="B399" s="286">
        <v>0</v>
      </c>
      <c r="C399" s="175">
        <v>45561</v>
      </c>
      <c r="D399" s="286"/>
      <c r="E399" s="286"/>
    </row>
    <row r="400" spans="1:5">
      <c r="A400" t="s">
        <v>1056</v>
      </c>
      <c r="B400" s="286">
        <v>5</v>
      </c>
      <c r="C400" s="175">
        <v>45563</v>
      </c>
      <c r="D400" s="175">
        <v>45603</v>
      </c>
      <c r="E400" s="175">
        <v>45604</v>
      </c>
    </row>
    <row r="401" spans="1:5">
      <c r="A401" t="s">
        <v>1057</v>
      </c>
      <c r="B401" s="286">
        <v>1</v>
      </c>
      <c r="C401" s="175">
        <v>45563</v>
      </c>
      <c r="D401" s="175">
        <v>45603</v>
      </c>
      <c r="E401" s="175">
        <v>45604</v>
      </c>
    </row>
    <row r="402" spans="1:5">
      <c r="A402" t="s">
        <v>1058</v>
      </c>
      <c r="B402" s="286">
        <v>1</v>
      </c>
      <c r="C402" s="175">
        <v>45563</v>
      </c>
      <c r="D402" s="175">
        <v>45603</v>
      </c>
      <c r="E402" s="175">
        <v>45604</v>
      </c>
    </row>
    <row r="403" spans="1:5">
      <c r="A403" t="s">
        <v>1059</v>
      </c>
      <c r="B403" s="286">
        <v>1</v>
      </c>
      <c r="C403" s="175">
        <v>45563</v>
      </c>
      <c r="D403" s="175">
        <v>45603</v>
      </c>
      <c r="E403" s="175">
        <v>45604</v>
      </c>
    </row>
    <row r="404" spans="1:5">
      <c r="A404" t="s">
        <v>1060</v>
      </c>
      <c r="B404" s="286">
        <v>1</v>
      </c>
      <c r="C404" s="175">
        <v>45563</v>
      </c>
      <c r="D404" s="175">
        <v>45603</v>
      </c>
      <c r="E404" s="175">
        <v>45604</v>
      </c>
    </row>
    <row r="405" spans="1:5">
      <c r="A405" t="s">
        <v>1061</v>
      </c>
      <c r="B405" s="286">
        <v>0</v>
      </c>
      <c r="C405" s="175">
        <v>45561</v>
      </c>
      <c r="D405" s="286"/>
      <c r="E405" s="286"/>
    </row>
    <row r="406" spans="1:5">
      <c r="A406" t="s">
        <v>1062</v>
      </c>
      <c r="B406" s="286">
        <v>1</v>
      </c>
      <c r="C406" s="286"/>
      <c r="D406" s="175">
        <v>45603</v>
      </c>
      <c r="E406" s="286"/>
    </row>
    <row r="407" spans="1:5">
      <c r="A407" t="s">
        <v>1063</v>
      </c>
      <c r="B407" s="286">
        <v>1</v>
      </c>
      <c r="C407" s="175">
        <v>45563</v>
      </c>
      <c r="D407" s="175">
        <v>45603</v>
      </c>
      <c r="E407" s="175">
        <v>45604</v>
      </c>
    </row>
    <row r="408" spans="1:5">
      <c r="A408" t="s">
        <v>1064</v>
      </c>
      <c r="B408" s="286">
        <v>1</v>
      </c>
      <c r="C408" s="175">
        <v>45563</v>
      </c>
      <c r="D408" s="175">
        <v>45603</v>
      </c>
      <c r="E408" s="175">
        <v>45604</v>
      </c>
    </row>
    <row r="409" spans="1:5">
      <c r="A409" t="s">
        <v>1065</v>
      </c>
      <c r="B409" s="286">
        <v>1</v>
      </c>
      <c r="C409" s="175">
        <v>45563</v>
      </c>
      <c r="D409" s="175">
        <v>45603</v>
      </c>
      <c r="E409" s="175">
        <v>45604</v>
      </c>
    </row>
    <row r="410" spans="1:5">
      <c r="A410" t="s">
        <v>1066</v>
      </c>
      <c r="B410" s="286">
        <v>1</v>
      </c>
      <c r="C410" s="286"/>
      <c r="D410" s="286"/>
      <c r="E410" s="286"/>
    </row>
    <row r="411" spans="1:5">
      <c r="A411" t="s">
        <v>1067</v>
      </c>
      <c r="B411" s="286">
        <v>0</v>
      </c>
      <c r="C411" s="286"/>
      <c r="D411" s="286"/>
      <c r="E411" s="286"/>
    </row>
    <row r="412" spans="1:5">
      <c r="A412" t="s">
        <v>1068</v>
      </c>
      <c r="B412" s="286">
        <v>1</v>
      </c>
      <c r="C412" s="286"/>
      <c r="D412" s="286"/>
      <c r="E412" s="286"/>
    </row>
    <row r="413" spans="1:5">
      <c r="A413" t="s">
        <v>1069</v>
      </c>
      <c r="B413" s="286">
        <v>1</v>
      </c>
      <c r="C413" s="286"/>
      <c r="D413" s="286"/>
      <c r="E413" s="286"/>
    </row>
    <row r="414" spans="1:5">
      <c r="A414" t="s">
        <v>1070</v>
      </c>
      <c r="B414" s="286">
        <v>1</v>
      </c>
      <c r="C414" s="286"/>
      <c r="D414" s="286"/>
      <c r="E414" s="286"/>
    </row>
    <row r="415" spans="1:5">
      <c r="A415" t="s">
        <v>1071</v>
      </c>
      <c r="B415" s="286">
        <v>1</v>
      </c>
      <c r="C415" s="286"/>
      <c r="D415" s="286"/>
      <c r="E415" s="286"/>
    </row>
    <row r="416" spans="1:5">
      <c r="A416" t="s">
        <v>1072</v>
      </c>
      <c r="B416" s="286">
        <v>1</v>
      </c>
      <c r="C416" s="286"/>
      <c r="D416" s="286"/>
      <c r="E416" s="286"/>
    </row>
    <row r="417" spans="1:5">
      <c r="A417" t="s">
        <v>1073</v>
      </c>
      <c r="B417" s="286">
        <v>1</v>
      </c>
      <c r="C417" s="286"/>
      <c r="D417" s="286"/>
      <c r="E417" s="286"/>
    </row>
    <row r="418" spans="1:5">
      <c r="A418" t="s">
        <v>1074</v>
      </c>
      <c r="B418" s="286">
        <v>1</v>
      </c>
      <c r="C418" s="286"/>
      <c r="D418" s="286"/>
      <c r="E418" s="286"/>
    </row>
    <row r="419" spans="1:5">
      <c r="A419" t="s">
        <v>1075</v>
      </c>
      <c r="B419" s="286">
        <v>1</v>
      </c>
      <c r="C419" s="286"/>
      <c r="D419" s="286"/>
      <c r="E419" s="286"/>
    </row>
    <row r="420" spans="1:5">
      <c r="A420" t="s">
        <v>1076</v>
      </c>
      <c r="B420" s="286">
        <v>1</v>
      </c>
      <c r="C420" s="286"/>
      <c r="D420" s="286"/>
      <c r="E420" s="286"/>
    </row>
    <row r="421" spans="1:5">
      <c r="A421" t="s">
        <v>1077</v>
      </c>
      <c r="B421" s="286">
        <v>1</v>
      </c>
      <c r="C421" s="286"/>
      <c r="D421" s="286"/>
      <c r="E421" s="286"/>
    </row>
    <row r="422" spans="1:5">
      <c r="A422" t="s">
        <v>1078</v>
      </c>
      <c r="B422" s="286">
        <v>1</v>
      </c>
      <c r="C422" s="286"/>
      <c r="D422" s="286"/>
      <c r="E422" s="286"/>
    </row>
    <row r="423" spans="1:5">
      <c r="A423" t="s">
        <v>1079</v>
      </c>
      <c r="B423" s="286">
        <v>1</v>
      </c>
      <c r="C423" s="286"/>
      <c r="D423" s="286"/>
      <c r="E423" s="286"/>
    </row>
    <row r="424" spans="1:5">
      <c r="A424" t="s">
        <v>1080</v>
      </c>
      <c r="B424" s="286">
        <v>1</v>
      </c>
      <c r="C424" s="286"/>
      <c r="D424" s="286"/>
      <c r="E424" s="286"/>
    </row>
    <row r="425" spans="1:5">
      <c r="A425" t="s">
        <v>1081</v>
      </c>
      <c r="B425" s="286">
        <v>1</v>
      </c>
      <c r="C425" s="286"/>
      <c r="D425" s="286"/>
      <c r="E425" s="286"/>
    </row>
    <row r="426" spans="1:5">
      <c r="A426" t="s">
        <v>1082</v>
      </c>
      <c r="B426" s="286">
        <v>0</v>
      </c>
      <c r="C426" s="286"/>
      <c r="D426" s="286"/>
      <c r="E426" s="286"/>
    </row>
    <row r="427" spans="1:5">
      <c r="A427" t="s">
        <v>1083</v>
      </c>
      <c r="B427" s="286">
        <v>1</v>
      </c>
      <c r="C427" s="175">
        <v>45512</v>
      </c>
      <c r="D427" s="175">
        <v>45526</v>
      </c>
      <c r="E427" s="286"/>
    </row>
    <row r="428" spans="1:5">
      <c r="A428" t="s">
        <v>1084</v>
      </c>
      <c r="B428" s="286">
        <v>1</v>
      </c>
      <c r="C428" s="286"/>
      <c r="D428" s="286"/>
      <c r="E428" s="286"/>
    </row>
    <row r="429" spans="1:5">
      <c r="A429" t="s">
        <v>1085</v>
      </c>
      <c r="B429" s="286">
        <v>1</v>
      </c>
      <c r="C429" s="286"/>
      <c r="D429" s="286"/>
      <c r="E429" s="286"/>
    </row>
    <row r="430" spans="1:5">
      <c r="A430" t="s">
        <v>1086</v>
      </c>
      <c r="B430" s="286">
        <v>1</v>
      </c>
      <c r="C430" s="286"/>
      <c r="D430" s="286"/>
      <c r="E430" s="286"/>
    </row>
    <row r="431" spans="1:5">
      <c r="A431" t="s">
        <v>1087</v>
      </c>
      <c r="B431" s="286">
        <v>0</v>
      </c>
      <c r="C431" s="286"/>
      <c r="D431" s="286"/>
      <c r="E431" s="286"/>
    </row>
    <row r="432" spans="1:5">
      <c r="A432" t="s">
        <v>1088</v>
      </c>
      <c r="B432" s="286">
        <v>0</v>
      </c>
      <c r="C432" s="286"/>
      <c r="D432" s="286"/>
      <c r="E432" s="286"/>
    </row>
    <row r="433" spans="1:5">
      <c r="A433" t="s">
        <v>1089</v>
      </c>
      <c r="B433" s="286">
        <v>1</v>
      </c>
      <c r="C433" s="286"/>
      <c r="D433" s="286"/>
      <c r="E433" s="286"/>
    </row>
    <row r="434" spans="1:5">
      <c r="A434" t="s">
        <v>1090</v>
      </c>
      <c r="B434" s="286">
        <v>0</v>
      </c>
      <c r="C434" s="286"/>
      <c r="D434" s="286"/>
      <c r="E434" s="286"/>
    </row>
    <row r="435" spans="1:5">
      <c r="A435" t="s">
        <v>1091</v>
      </c>
      <c r="B435" s="286">
        <v>1</v>
      </c>
      <c r="C435" s="286"/>
      <c r="D435" s="286"/>
      <c r="E435" s="286"/>
    </row>
    <row r="436" spans="1:5">
      <c r="A436" t="s">
        <v>1092</v>
      </c>
      <c r="B436" s="286">
        <v>1</v>
      </c>
      <c r="C436" s="286"/>
      <c r="D436" s="286"/>
      <c r="E436" s="286"/>
    </row>
    <row r="437" spans="1:5">
      <c r="A437" t="s">
        <v>1093</v>
      </c>
      <c r="B437" s="286">
        <v>1</v>
      </c>
      <c r="C437" s="286"/>
      <c r="D437" s="286"/>
      <c r="E437" s="286"/>
    </row>
    <row r="438" spans="1:5">
      <c r="A438" t="s">
        <v>1094</v>
      </c>
      <c r="B438" s="286">
        <v>1</v>
      </c>
      <c r="C438" s="286"/>
      <c r="D438" s="286"/>
      <c r="E438" s="286"/>
    </row>
    <row r="439" spans="1:5">
      <c r="A439" t="s">
        <v>1095</v>
      </c>
      <c r="B439" s="286">
        <v>1</v>
      </c>
      <c r="C439" s="286"/>
      <c r="D439" s="286"/>
      <c r="E439" s="286"/>
    </row>
    <row r="440" spans="1:5">
      <c r="A440" t="s">
        <v>1096</v>
      </c>
      <c r="B440" s="286">
        <v>1</v>
      </c>
      <c r="C440" s="286"/>
      <c r="D440" s="286"/>
      <c r="E440" s="286"/>
    </row>
    <row r="441" spans="1:5">
      <c r="A441" t="s">
        <v>1097</v>
      </c>
      <c r="B441" s="286">
        <v>1</v>
      </c>
      <c r="C441" s="286"/>
      <c r="D441" s="286"/>
      <c r="E441" s="286"/>
    </row>
    <row r="442" spans="1:5">
      <c r="A442" t="s">
        <v>1098</v>
      </c>
      <c r="B442" s="286">
        <v>1</v>
      </c>
      <c r="C442" s="286"/>
      <c r="D442" s="286"/>
      <c r="E442" s="286"/>
    </row>
    <row r="443" spans="1:5">
      <c r="A443" t="s">
        <v>1099</v>
      </c>
      <c r="B443" s="286">
        <v>1</v>
      </c>
      <c r="C443" s="286"/>
      <c r="D443" s="286"/>
      <c r="E443" s="286"/>
    </row>
    <row r="444" spans="1:5">
      <c r="A444" t="s">
        <v>1100</v>
      </c>
      <c r="B444" s="286">
        <v>7</v>
      </c>
      <c r="C444" s="286"/>
      <c r="D444" s="286"/>
      <c r="E444" s="286"/>
    </row>
    <row r="445" spans="1:5">
      <c r="A445" t="s">
        <v>1101</v>
      </c>
      <c r="B445" s="286">
        <v>7</v>
      </c>
      <c r="C445" s="286"/>
      <c r="D445" s="286"/>
      <c r="E445" s="286"/>
    </row>
    <row r="446" spans="1:5">
      <c r="A446" t="s">
        <v>1102</v>
      </c>
      <c r="B446" s="286">
        <v>1</v>
      </c>
      <c r="C446" s="286"/>
      <c r="D446" s="286"/>
      <c r="E446" s="286"/>
    </row>
    <row r="447" spans="1:5">
      <c r="A447" t="s">
        <v>1103</v>
      </c>
      <c r="B447" s="286">
        <v>1</v>
      </c>
      <c r="C447" s="286"/>
      <c r="D447" s="286"/>
      <c r="E447" s="286"/>
    </row>
    <row r="448" spans="1:5">
      <c r="A448" t="s">
        <v>1104</v>
      </c>
      <c r="B448" s="286">
        <v>1</v>
      </c>
      <c r="C448" s="286"/>
      <c r="D448" s="286"/>
      <c r="E448" s="286"/>
    </row>
    <row r="449" spans="1:5">
      <c r="A449" t="s">
        <v>1105</v>
      </c>
      <c r="B449" s="286">
        <v>7</v>
      </c>
      <c r="C449" s="286"/>
      <c r="D449" s="286"/>
      <c r="E449" s="286"/>
    </row>
    <row r="450" spans="1:5">
      <c r="A450" t="s">
        <v>1106</v>
      </c>
      <c r="B450" s="286">
        <v>1</v>
      </c>
      <c r="C450" s="286"/>
      <c r="D450" s="286"/>
      <c r="E450" s="286"/>
    </row>
    <row r="451" spans="1:5">
      <c r="A451" t="s">
        <v>1107</v>
      </c>
      <c r="B451" s="286">
        <v>7</v>
      </c>
      <c r="C451" s="286"/>
      <c r="D451" s="286"/>
      <c r="E451" s="286"/>
    </row>
    <row r="452" spans="1:5">
      <c r="A452" t="s">
        <v>1108</v>
      </c>
      <c r="B452" s="286">
        <v>7</v>
      </c>
      <c r="C452" s="286"/>
      <c r="D452" s="286"/>
      <c r="E452" s="286"/>
    </row>
    <row r="453" spans="1:5">
      <c r="A453" t="s">
        <v>1109</v>
      </c>
      <c r="B453" s="286">
        <v>1</v>
      </c>
      <c r="C453" s="286"/>
      <c r="D453" s="286"/>
      <c r="E453" s="286"/>
    </row>
    <row r="454" spans="1:5">
      <c r="A454" t="s">
        <v>1110</v>
      </c>
      <c r="B454" s="286">
        <v>1</v>
      </c>
      <c r="C454" s="286"/>
      <c r="D454" s="286"/>
      <c r="E454" s="286"/>
    </row>
    <row r="455" spans="1:5">
      <c r="A455" t="s">
        <v>1111</v>
      </c>
      <c r="B455" s="286">
        <v>1</v>
      </c>
      <c r="C455" s="286"/>
      <c r="D455" s="286"/>
      <c r="E455" s="286"/>
    </row>
    <row r="456" spans="1:5">
      <c r="A456" t="s">
        <v>1112</v>
      </c>
      <c r="B456" s="286">
        <v>7</v>
      </c>
      <c r="C456" s="286"/>
      <c r="D456" s="286"/>
      <c r="E456" s="286"/>
    </row>
    <row r="457" spans="1:5">
      <c r="A457" t="s">
        <v>1113</v>
      </c>
      <c r="B457" s="286">
        <v>1</v>
      </c>
      <c r="C457" s="286"/>
      <c r="D457" s="286"/>
      <c r="E457" s="286"/>
    </row>
    <row r="458" spans="1:5">
      <c r="A458" t="s">
        <v>1114</v>
      </c>
      <c r="B458" s="286">
        <v>1</v>
      </c>
      <c r="C458" s="286"/>
      <c r="D458" s="286"/>
      <c r="E458" s="286"/>
    </row>
    <row r="459" spans="1:5">
      <c r="A459" t="s">
        <v>1115</v>
      </c>
      <c r="B459" s="286">
        <v>1</v>
      </c>
      <c r="C459" s="286"/>
      <c r="D459" s="286"/>
      <c r="E459" s="286"/>
    </row>
    <row r="460" spans="1:5">
      <c r="A460" t="s">
        <v>1116</v>
      </c>
      <c r="B460" s="286">
        <v>7</v>
      </c>
      <c r="C460" s="286"/>
      <c r="D460" s="286"/>
      <c r="E460" s="286"/>
    </row>
    <row r="461" spans="1:5">
      <c r="A461" t="s">
        <v>1117</v>
      </c>
      <c r="B461" s="286">
        <v>1</v>
      </c>
      <c r="C461" s="286"/>
      <c r="D461" s="286"/>
      <c r="E461" s="286"/>
    </row>
    <row r="462" spans="1:5">
      <c r="A462" t="s">
        <v>1118</v>
      </c>
      <c r="B462" s="286">
        <v>1</v>
      </c>
      <c r="C462" s="286"/>
      <c r="D462" s="286"/>
      <c r="E462" s="286"/>
    </row>
    <row r="463" spans="1:5">
      <c r="A463" t="s">
        <v>1119</v>
      </c>
      <c r="B463" s="286">
        <v>1</v>
      </c>
      <c r="C463" s="286"/>
      <c r="D463" s="286"/>
      <c r="E463" s="286"/>
    </row>
    <row r="464" spans="1:5">
      <c r="A464" t="s">
        <v>1120</v>
      </c>
      <c r="B464" s="286">
        <v>7</v>
      </c>
      <c r="C464" s="286"/>
      <c r="D464" s="286"/>
      <c r="E464" s="286"/>
    </row>
    <row r="465" spans="1:5">
      <c r="A465" t="s">
        <v>1121</v>
      </c>
      <c r="B465" s="286">
        <v>7</v>
      </c>
      <c r="C465" s="286"/>
      <c r="D465" s="286"/>
      <c r="E465" s="286"/>
    </row>
    <row r="466" spans="1:5">
      <c r="A466" t="s">
        <v>1122</v>
      </c>
      <c r="B466" s="286">
        <v>1</v>
      </c>
      <c r="C466" s="286"/>
      <c r="D466" s="286"/>
      <c r="E466" s="286"/>
    </row>
    <row r="467" spans="1:5">
      <c r="A467" t="s">
        <v>1123</v>
      </c>
      <c r="B467" s="286">
        <v>7</v>
      </c>
      <c r="C467" s="286"/>
      <c r="D467" s="286"/>
      <c r="E467" s="286"/>
    </row>
    <row r="468" spans="1:5">
      <c r="A468" t="s">
        <v>1124</v>
      </c>
      <c r="B468" s="286">
        <v>7</v>
      </c>
      <c r="C468" s="286"/>
      <c r="D468" s="286"/>
      <c r="E468" s="286"/>
    </row>
    <row r="469" spans="1:5">
      <c r="A469" t="s">
        <v>1125</v>
      </c>
      <c r="B469" s="286">
        <v>7</v>
      </c>
      <c r="C469" s="286"/>
      <c r="D469" s="286"/>
      <c r="E469" s="286"/>
    </row>
    <row r="470" spans="1:5">
      <c r="A470" t="s">
        <v>1126</v>
      </c>
      <c r="B470" s="286">
        <v>7</v>
      </c>
      <c r="C470" s="286"/>
      <c r="D470" s="286"/>
      <c r="E470" s="286"/>
    </row>
    <row r="471" spans="1:5">
      <c r="A471" t="s">
        <v>1127</v>
      </c>
      <c r="B471" s="286">
        <v>1</v>
      </c>
      <c r="C471" s="286"/>
      <c r="D471" s="286"/>
      <c r="E471" s="286"/>
    </row>
    <row r="472" spans="1:5">
      <c r="A472" t="s">
        <v>1128</v>
      </c>
      <c r="B472" s="286">
        <v>1</v>
      </c>
      <c r="C472" s="286"/>
      <c r="D472" s="286"/>
      <c r="E472" s="286"/>
    </row>
    <row r="473" spans="1:5">
      <c r="A473" t="s">
        <v>1129</v>
      </c>
      <c r="B473" s="286">
        <v>7</v>
      </c>
      <c r="C473" s="286"/>
      <c r="D473" s="286"/>
      <c r="E473" s="286"/>
    </row>
    <row r="474" spans="1:5">
      <c r="A474" t="s">
        <v>1130</v>
      </c>
      <c r="B474" s="286">
        <v>7</v>
      </c>
      <c r="C474" s="286"/>
      <c r="D474" s="286"/>
      <c r="E474" s="286"/>
    </row>
    <row r="475" spans="1:5">
      <c r="A475" t="s">
        <v>1131</v>
      </c>
      <c r="B475" s="286">
        <v>1</v>
      </c>
      <c r="C475" s="286"/>
      <c r="D475" s="286"/>
      <c r="E475" s="286"/>
    </row>
    <row r="476" spans="1:5">
      <c r="A476" t="s">
        <v>1132</v>
      </c>
      <c r="B476" s="286">
        <v>7</v>
      </c>
      <c r="C476" s="286"/>
      <c r="D476" s="286"/>
      <c r="E476" s="286"/>
    </row>
    <row r="477" spans="1:5">
      <c r="A477" t="s">
        <v>1133</v>
      </c>
      <c r="B477" s="286">
        <v>7</v>
      </c>
      <c r="C477" s="286"/>
      <c r="D477" s="286"/>
      <c r="E477" s="286"/>
    </row>
    <row r="478" spans="1:5">
      <c r="A478" t="s">
        <v>1134</v>
      </c>
      <c r="B478" s="286">
        <v>1</v>
      </c>
      <c r="C478" s="286"/>
      <c r="D478" s="286"/>
      <c r="E478" s="286"/>
    </row>
    <row r="479" spans="1:5">
      <c r="A479" t="s">
        <v>1135</v>
      </c>
      <c r="B479" s="286">
        <v>1</v>
      </c>
      <c r="C479" s="286"/>
      <c r="D479" s="286"/>
      <c r="E479" s="286"/>
    </row>
    <row r="480" spans="1:5">
      <c r="A480" t="s">
        <v>1136</v>
      </c>
      <c r="B480" s="286">
        <v>1</v>
      </c>
      <c r="C480" s="286"/>
      <c r="D480" s="286"/>
      <c r="E480" s="286"/>
    </row>
    <row r="481" spans="1:5">
      <c r="A481" t="s">
        <v>1137</v>
      </c>
      <c r="B481" s="286">
        <v>1</v>
      </c>
      <c r="C481" s="286"/>
      <c r="D481" s="286"/>
      <c r="E481" s="286"/>
    </row>
    <row r="482" spans="1:5">
      <c r="A482" t="s">
        <v>1138</v>
      </c>
      <c r="B482" s="286">
        <v>1</v>
      </c>
      <c r="C482" s="286"/>
      <c r="D482" s="286"/>
      <c r="E482" s="286"/>
    </row>
    <row r="483" spans="1:5">
      <c r="A483" t="s">
        <v>1139</v>
      </c>
      <c r="B483" s="286">
        <v>1</v>
      </c>
      <c r="C483" s="286"/>
      <c r="D483" s="286"/>
      <c r="E483" s="286"/>
    </row>
    <row r="484" spans="1:5">
      <c r="A484" t="s">
        <v>1140</v>
      </c>
      <c r="B484" s="286">
        <v>1</v>
      </c>
      <c r="C484" s="286"/>
      <c r="D484" s="286"/>
      <c r="E484" s="286"/>
    </row>
    <row r="485" spans="1:5">
      <c r="A485" t="s">
        <v>1141</v>
      </c>
      <c r="B485" s="286">
        <v>1</v>
      </c>
      <c r="C485" s="286"/>
      <c r="D485" s="286"/>
      <c r="E485" s="286"/>
    </row>
    <row r="486" spans="1:5">
      <c r="A486" t="s">
        <v>1142</v>
      </c>
      <c r="B486" s="286">
        <v>1</v>
      </c>
      <c r="C486" s="286"/>
      <c r="D486" s="286"/>
      <c r="E486" s="286"/>
    </row>
    <row r="487" spans="1:5">
      <c r="A487" t="s">
        <v>1143</v>
      </c>
      <c r="B487" s="286">
        <v>1</v>
      </c>
      <c r="C487" s="286"/>
      <c r="D487" s="286"/>
      <c r="E487" s="286"/>
    </row>
    <row r="488" spans="1:5">
      <c r="A488" t="s">
        <v>1144</v>
      </c>
      <c r="B488" s="286">
        <v>7</v>
      </c>
      <c r="C488" s="286"/>
      <c r="D488" s="286"/>
      <c r="E488" s="286"/>
    </row>
    <row r="489" spans="1:5">
      <c r="A489" t="s">
        <v>1145</v>
      </c>
      <c r="B489" s="286">
        <v>1</v>
      </c>
      <c r="C489" s="286"/>
      <c r="D489" s="286"/>
      <c r="E489" s="286"/>
    </row>
    <row r="490" spans="1:5">
      <c r="A490" t="s">
        <v>1146</v>
      </c>
      <c r="B490" s="286">
        <v>1</v>
      </c>
      <c r="C490" s="286"/>
      <c r="D490" s="286"/>
      <c r="E490" s="286"/>
    </row>
    <row r="491" spans="1:5">
      <c r="A491" t="s">
        <v>1147</v>
      </c>
      <c r="B491" s="286">
        <v>1</v>
      </c>
      <c r="C491" s="286"/>
      <c r="D491" s="286"/>
      <c r="E491" s="286"/>
    </row>
    <row r="492" spans="1:5">
      <c r="A492" t="s">
        <v>1148</v>
      </c>
      <c r="B492" s="286">
        <v>7</v>
      </c>
      <c r="C492" s="286"/>
      <c r="D492" s="286"/>
      <c r="E492" s="286"/>
    </row>
    <row r="493" spans="1:5">
      <c r="A493" t="s">
        <v>1149</v>
      </c>
      <c r="B493" s="286">
        <v>7</v>
      </c>
      <c r="C493" s="286"/>
      <c r="D493" s="286"/>
      <c r="E493" s="286"/>
    </row>
    <row r="494" spans="1:5">
      <c r="A494" t="s">
        <v>1150</v>
      </c>
      <c r="B494" s="286">
        <v>1</v>
      </c>
      <c r="C494" s="286"/>
      <c r="D494" s="286"/>
      <c r="E494" s="286"/>
    </row>
    <row r="495" spans="1:5">
      <c r="A495" t="s">
        <v>1151</v>
      </c>
      <c r="B495" s="286">
        <v>1</v>
      </c>
      <c r="C495" s="286"/>
      <c r="D495" s="286"/>
      <c r="E495" s="286"/>
    </row>
    <row r="496" spans="1:5">
      <c r="A496" t="s">
        <v>1152</v>
      </c>
      <c r="B496" s="286">
        <v>1</v>
      </c>
      <c r="C496" s="286"/>
      <c r="D496" s="286"/>
      <c r="E496" s="286"/>
    </row>
    <row r="497" spans="1:5">
      <c r="A497" t="s">
        <v>1153</v>
      </c>
      <c r="B497" s="286">
        <v>1</v>
      </c>
      <c r="C497" s="286"/>
      <c r="D497" s="286"/>
      <c r="E497" s="286"/>
    </row>
    <row r="498" spans="1:5">
      <c r="A498" t="s">
        <v>1154</v>
      </c>
      <c r="B498" s="286">
        <v>7</v>
      </c>
      <c r="C498" s="286"/>
      <c r="D498" s="286"/>
      <c r="E498" s="286"/>
    </row>
    <row r="499" spans="1:5">
      <c r="A499" t="s">
        <v>1155</v>
      </c>
      <c r="B499" s="286">
        <v>1</v>
      </c>
      <c r="C499" s="286"/>
      <c r="D499" s="286"/>
      <c r="E499" s="286"/>
    </row>
    <row r="500" spans="1:5">
      <c r="A500" t="s">
        <v>1156</v>
      </c>
      <c r="B500" s="286">
        <v>1</v>
      </c>
      <c r="C500" s="286"/>
      <c r="D500" s="286"/>
      <c r="E500" s="286"/>
    </row>
    <row r="501" spans="1:5">
      <c r="A501" t="s">
        <v>1157</v>
      </c>
      <c r="B501" s="286">
        <v>1</v>
      </c>
      <c r="C501" s="286"/>
      <c r="D501" s="286"/>
      <c r="E501" s="286"/>
    </row>
    <row r="502" spans="1:5">
      <c r="A502" t="s">
        <v>1158</v>
      </c>
      <c r="B502" s="286">
        <v>7</v>
      </c>
      <c r="C502" s="286"/>
      <c r="D502" s="286"/>
      <c r="E502" s="286"/>
    </row>
    <row r="503" spans="1:5">
      <c r="A503" t="s">
        <v>1159</v>
      </c>
      <c r="B503" s="286">
        <v>1</v>
      </c>
      <c r="C503" s="286"/>
      <c r="D503" s="286"/>
      <c r="E503" s="286"/>
    </row>
    <row r="504" spans="1:5">
      <c r="A504" t="s">
        <v>1160</v>
      </c>
      <c r="B504" s="286">
        <v>1</v>
      </c>
      <c r="C504" s="286"/>
      <c r="D504" s="286"/>
      <c r="E504" s="286"/>
    </row>
    <row r="505" spans="1:5">
      <c r="A505" t="s">
        <v>1161</v>
      </c>
      <c r="B505" s="286">
        <v>1</v>
      </c>
      <c r="C505" s="286"/>
      <c r="D505" s="286"/>
      <c r="E505" s="286"/>
    </row>
    <row r="506" spans="1:5">
      <c r="A506" t="s">
        <v>1162</v>
      </c>
      <c r="B506" s="286">
        <v>1</v>
      </c>
      <c r="C506" s="286"/>
      <c r="D506" s="286"/>
      <c r="E506" s="286"/>
    </row>
    <row r="507" spans="1:5">
      <c r="A507" t="s">
        <v>1163</v>
      </c>
      <c r="B507" s="286">
        <v>1</v>
      </c>
      <c r="C507" s="286"/>
      <c r="D507" s="286"/>
      <c r="E507" s="286"/>
    </row>
    <row r="508" spans="1:5">
      <c r="A508" t="s">
        <v>1164</v>
      </c>
      <c r="B508" s="286">
        <v>1</v>
      </c>
      <c r="C508" s="286"/>
      <c r="D508" s="286"/>
      <c r="E508" s="286"/>
    </row>
    <row r="509" spans="1:5">
      <c r="A509" t="s">
        <v>1165</v>
      </c>
      <c r="B509" s="286">
        <v>1</v>
      </c>
      <c r="C509" s="286"/>
      <c r="D509" s="286"/>
      <c r="E509" s="286"/>
    </row>
    <row r="510" spans="1:5">
      <c r="A510" t="s">
        <v>1166</v>
      </c>
      <c r="B510" s="286">
        <v>1</v>
      </c>
      <c r="C510" s="286"/>
      <c r="D510" s="286"/>
      <c r="E510" s="286"/>
    </row>
    <row r="511" spans="1:5">
      <c r="A511" t="s">
        <v>1167</v>
      </c>
      <c r="B511" s="286">
        <v>1</v>
      </c>
      <c r="C511" s="286"/>
      <c r="D511" s="286"/>
      <c r="E511" s="286"/>
    </row>
    <row r="512" spans="1:5">
      <c r="A512" t="s">
        <v>1168</v>
      </c>
      <c r="B512" s="286">
        <v>1</v>
      </c>
      <c r="C512" s="286"/>
      <c r="D512" s="286"/>
      <c r="E512" s="286"/>
    </row>
    <row r="513" spans="1:5">
      <c r="A513" t="s">
        <v>1169</v>
      </c>
      <c r="B513" s="286">
        <v>1</v>
      </c>
      <c r="C513" s="286"/>
      <c r="D513" s="286"/>
      <c r="E513" s="286"/>
    </row>
    <row r="514" spans="1:5">
      <c r="A514" t="s">
        <v>1170</v>
      </c>
      <c r="B514" s="286">
        <v>1</v>
      </c>
      <c r="C514" s="286"/>
      <c r="D514" s="286"/>
      <c r="E514" s="286"/>
    </row>
    <row r="515" spans="1:5">
      <c r="A515" t="s">
        <v>1171</v>
      </c>
      <c r="B515" s="286">
        <v>1</v>
      </c>
      <c r="C515" s="286"/>
      <c r="D515" s="286"/>
      <c r="E515" s="286"/>
    </row>
    <row r="516" spans="1:5">
      <c r="A516" t="s">
        <v>1172</v>
      </c>
      <c r="B516" s="286">
        <v>1</v>
      </c>
      <c r="C516" s="286"/>
      <c r="D516" s="286"/>
      <c r="E516" s="286"/>
    </row>
    <row r="517" spans="1:5">
      <c r="A517" t="s">
        <v>1173</v>
      </c>
      <c r="B517" s="286">
        <v>1</v>
      </c>
      <c r="C517" s="286"/>
      <c r="D517" s="286"/>
      <c r="E517" s="286"/>
    </row>
    <row r="518" spans="1:5">
      <c r="A518" t="s">
        <v>1174</v>
      </c>
      <c r="B518" s="286">
        <v>1</v>
      </c>
      <c r="C518" s="286"/>
      <c r="D518" s="286"/>
      <c r="E518" s="286"/>
    </row>
    <row r="519" spans="1:5">
      <c r="A519" t="s">
        <v>1175</v>
      </c>
      <c r="B519" s="286">
        <v>1</v>
      </c>
      <c r="C519" s="286"/>
      <c r="D519" s="286"/>
      <c r="E519" s="286"/>
    </row>
    <row r="520" spans="1:5">
      <c r="A520" t="s">
        <v>1176</v>
      </c>
      <c r="B520" s="286">
        <v>1</v>
      </c>
      <c r="C520" s="286"/>
      <c r="D520" s="286"/>
      <c r="E520" s="286"/>
    </row>
    <row r="521" spans="1:5">
      <c r="A521" t="s">
        <v>1944</v>
      </c>
      <c r="B521" s="286">
        <v>7</v>
      </c>
      <c r="C521" s="286"/>
      <c r="D521" s="286"/>
      <c r="E521" s="286"/>
    </row>
    <row r="522" spans="1:5">
      <c r="A522" t="s">
        <v>1177</v>
      </c>
      <c r="B522" s="286">
        <v>0</v>
      </c>
      <c r="C522" s="286"/>
      <c r="D522" s="286"/>
      <c r="E522" s="286"/>
    </row>
    <row r="523" spans="1:5">
      <c r="A523" t="s">
        <v>1178</v>
      </c>
      <c r="B523" s="286">
        <v>1</v>
      </c>
      <c r="C523" s="286"/>
      <c r="D523" s="286"/>
      <c r="E523" s="286"/>
    </row>
    <row r="524" spans="1:5">
      <c r="A524" t="s">
        <v>1179</v>
      </c>
      <c r="B524" s="286">
        <v>1</v>
      </c>
      <c r="C524" s="286"/>
      <c r="D524" s="286"/>
      <c r="E524" s="286"/>
    </row>
    <row r="525" spans="1:5">
      <c r="A525" t="s">
        <v>1180</v>
      </c>
      <c r="B525" s="286">
        <v>1</v>
      </c>
      <c r="C525" s="175">
        <v>45491</v>
      </c>
      <c r="D525" s="175">
        <v>45495</v>
      </c>
      <c r="E525" s="175">
        <v>45495</v>
      </c>
    </row>
    <row r="526" spans="1:5">
      <c r="A526" t="s">
        <v>1181</v>
      </c>
      <c r="B526" s="286">
        <v>1</v>
      </c>
      <c r="C526" s="286"/>
      <c r="D526" s="286"/>
      <c r="E526" s="286"/>
    </row>
    <row r="527" spans="1:5">
      <c r="A527" t="s">
        <v>1182</v>
      </c>
      <c r="B527" s="286">
        <v>1</v>
      </c>
      <c r="C527" s="286"/>
      <c r="D527" s="286"/>
      <c r="E527" s="286"/>
    </row>
    <row r="528" spans="1:5">
      <c r="A528" t="s">
        <v>1183</v>
      </c>
      <c r="B528" s="286">
        <v>1</v>
      </c>
      <c r="C528" s="175">
        <v>45491</v>
      </c>
      <c r="D528" s="175">
        <v>45495</v>
      </c>
      <c r="E528" s="175">
        <v>45495</v>
      </c>
    </row>
    <row r="529" spans="1:5">
      <c r="A529" t="s">
        <v>1184</v>
      </c>
      <c r="B529" s="286">
        <v>1</v>
      </c>
      <c r="C529" s="286"/>
      <c r="D529" s="286"/>
      <c r="E529" s="286"/>
    </row>
    <row r="530" spans="1:5">
      <c r="A530" t="s">
        <v>1185</v>
      </c>
      <c r="B530" s="286">
        <v>1</v>
      </c>
      <c r="C530" s="286"/>
      <c r="D530" s="286"/>
      <c r="E530" s="286"/>
    </row>
    <row r="531" spans="1:5">
      <c r="A531" t="s">
        <v>1186</v>
      </c>
      <c r="B531" s="286">
        <v>1</v>
      </c>
      <c r="C531" s="286"/>
      <c r="D531" s="286"/>
      <c r="E531" s="286"/>
    </row>
    <row r="532" spans="1:5">
      <c r="A532" t="s">
        <v>1187</v>
      </c>
      <c r="B532" s="286">
        <v>1</v>
      </c>
      <c r="C532" s="286"/>
      <c r="D532" s="286"/>
      <c r="E532" s="286"/>
    </row>
    <row r="533" spans="1:5">
      <c r="A533" t="s">
        <v>1188</v>
      </c>
      <c r="B533" s="286">
        <v>1</v>
      </c>
      <c r="C533" s="286"/>
      <c r="D533" s="286"/>
      <c r="E533" s="286"/>
    </row>
    <row r="534" spans="1:5">
      <c r="A534" t="s">
        <v>1189</v>
      </c>
      <c r="B534" s="286">
        <v>1</v>
      </c>
      <c r="C534" s="286"/>
      <c r="D534" s="286"/>
      <c r="E534" s="286"/>
    </row>
    <row r="535" spans="1:5">
      <c r="A535" t="s">
        <v>1190</v>
      </c>
      <c r="B535" s="286">
        <v>1</v>
      </c>
      <c r="C535" s="286"/>
      <c r="D535" s="286"/>
      <c r="E535" s="286"/>
    </row>
    <row r="536" spans="1:5">
      <c r="A536" t="s">
        <v>1191</v>
      </c>
      <c r="B536" s="286">
        <v>1</v>
      </c>
      <c r="C536" s="286"/>
      <c r="D536" s="286"/>
      <c r="E536" s="286"/>
    </row>
    <row r="537" spans="1:5">
      <c r="A537" t="s">
        <v>1192</v>
      </c>
      <c r="B537" s="286">
        <v>1</v>
      </c>
      <c r="C537" s="286"/>
      <c r="D537" s="286"/>
      <c r="E537" s="286"/>
    </row>
    <row r="538" spans="1:5">
      <c r="A538" t="s">
        <v>1193</v>
      </c>
      <c r="B538" s="286">
        <v>0</v>
      </c>
      <c r="C538" s="286"/>
      <c r="D538" s="286"/>
      <c r="E538" s="286"/>
    </row>
    <row r="539" spans="1:5">
      <c r="A539" t="s">
        <v>1194</v>
      </c>
      <c r="B539" s="286">
        <v>1</v>
      </c>
      <c r="C539" s="286"/>
      <c r="D539" s="286"/>
      <c r="E539" s="286"/>
    </row>
    <row r="540" spans="1:5">
      <c r="A540" t="s">
        <v>1195</v>
      </c>
      <c r="B540" s="286">
        <v>1</v>
      </c>
      <c r="C540" s="286"/>
      <c r="D540" s="286"/>
      <c r="E540" s="286"/>
    </row>
    <row r="541" spans="1:5">
      <c r="A541" t="s">
        <v>1196</v>
      </c>
      <c r="B541" s="286">
        <v>1</v>
      </c>
      <c r="C541" s="286"/>
      <c r="D541" s="286"/>
      <c r="E541" s="286"/>
    </row>
    <row r="542" spans="1:5">
      <c r="A542" t="s">
        <v>1197</v>
      </c>
      <c r="B542" s="286">
        <v>1</v>
      </c>
      <c r="C542" s="286"/>
      <c r="D542" s="286"/>
      <c r="E542" s="286"/>
    </row>
    <row r="543" spans="1:5">
      <c r="A543" t="s">
        <v>1198</v>
      </c>
      <c r="B543" s="286">
        <v>1</v>
      </c>
      <c r="C543" s="286"/>
      <c r="D543" s="286"/>
      <c r="E543" s="286"/>
    </row>
    <row r="544" spans="1:5">
      <c r="A544" t="s">
        <v>1199</v>
      </c>
      <c r="B544" s="286">
        <v>1</v>
      </c>
      <c r="C544" s="286"/>
      <c r="D544" s="286"/>
      <c r="E544" s="286"/>
    </row>
    <row r="545" spans="1:5">
      <c r="A545" t="s">
        <v>1200</v>
      </c>
      <c r="B545" s="286">
        <v>1</v>
      </c>
      <c r="C545" s="286"/>
      <c r="D545" s="286"/>
      <c r="E545" s="286"/>
    </row>
    <row r="546" spans="1:5">
      <c r="A546" t="s">
        <v>1201</v>
      </c>
      <c r="B546" s="286">
        <v>1</v>
      </c>
      <c r="C546" s="286"/>
      <c r="D546" s="286"/>
      <c r="E546" s="286"/>
    </row>
    <row r="547" spans="1:5">
      <c r="A547" t="s">
        <v>1202</v>
      </c>
      <c r="B547" s="286">
        <v>1</v>
      </c>
      <c r="C547" s="286"/>
      <c r="D547" s="286"/>
      <c r="E547" s="286"/>
    </row>
    <row r="548" spans="1:5">
      <c r="A548" t="s">
        <v>1203</v>
      </c>
      <c r="B548" s="286">
        <v>1</v>
      </c>
      <c r="C548" s="286"/>
      <c r="D548" s="286"/>
      <c r="E548" s="286"/>
    </row>
    <row r="549" spans="1:5">
      <c r="A549" t="s">
        <v>1204</v>
      </c>
      <c r="B549" s="286">
        <v>1</v>
      </c>
      <c r="C549" s="286"/>
      <c r="D549" s="286"/>
      <c r="E549" s="286"/>
    </row>
    <row r="550" spans="1:5">
      <c r="A550" t="s">
        <v>1205</v>
      </c>
      <c r="B550" s="286">
        <v>1</v>
      </c>
      <c r="C550" s="286"/>
      <c r="D550" s="286"/>
      <c r="E550" s="286"/>
    </row>
    <row r="551" spans="1:5">
      <c r="A551" t="s">
        <v>1206</v>
      </c>
      <c r="B551" s="286">
        <v>1</v>
      </c>
      <c r="C551" s="286"/>
      <c r="D551" s="286"/>
      <c r="E551" s="286"/>
    </row>
    <row r="552" spans="1:5">
      <c r="A552" t="s">
        <v>1207</v>
      </c>
      <c r="B552" s="286">
        <v>1</v>
      </c>
      <c r="C552" s="286"/>
      <c r="D552" s="286"/>
      <c r="E552" s="286"/>
    </row>
    <row r="553" spans="1:5">
      <c r="A553" t="s">
        <v>1208</v>
      </c>
      <c r="B553" s="286">
        <v>0</v>
      </c>
      <c r="C553" s="286"/>
      <c r="D553" s="286"/>
      <c r="E553" s="286"/>
    </row>
    <row r="554" spans="1:5">
      <c r="A554" t="s">
        <v>1209</v>
      </c>
      <c r="B554" s="286">
        <v>1</v>
      </c>
      <c r="C554" s="286"/>
      <c r="D554" s="286"/>
      <c r="E554" s="286"/>
    </row>
    <row r="555" spans="1:5">
      <c r="A555" t="s">
        <v>1210</v>
      </c>
      <c r="B555" s="286">
        <v>1</v>
      </c>
      <c r="C555" s="286"/>
      <c r="D555" s="286"/>
      <c r="E555" s="286"/>
    </row>
    <row r="556" spans="1:5">
      <c r="A556" t="s">
        <v>1211</v>
      </c>
      <c r="B556" s="286">
        <v>1</v>
      </c>
      <c r="C556" s="286"/>
      <c r="D556" s="286"/>
      <c r="E556" s="286"/>
    </row>
    <row r="557" spans="1:5">
      <c r="A557" t="s">
        <v>1212</v>
      </c>
      <c r="B557" s="286">
        <v>0</v>
      </c>
      <c r="C557" s="286"/>
      <c r="D557" s="286"/>
      <c r="E557" s="286"/>
    </row>
    <row r="558" spans="1:5">
      <c r="A558" t="s">
        <v>1213</v>
      </c>
      <c r="B558" s="286">
        <v>1</v>
      </c>
      <c r="C558" s="286"/>
      <c r="D558" s="286"/>
      <c r="E558" s="286"/>
    </row>
    <row r="559" spans="1:5">
      <c r="A559" t="s">
        <v>1214</v>
      </c>
      <c r="B559" s="286">
        <v>1</v>
      </c>
      <c r="C559" s="286"/>
      <c r="D559" s="286"/>
      <c r="E559" s="286"/>
    </row>
    <row r="560" spans="1:5">
      <c r="A560" t="s">
        <v>1215</v>
      </c>
      <c r="B560" s="286">
        <v>0</v>
      </c>
      <c r="C560" s="286"/>
      <c r="D560" s="286"/>
      <c r="E560" s="286"/>
    </row>
    <row r="561" spans="1:5">
      <c r="A561" t="s">
        <v>1216</v>
      </c>
      <c r="B561" s="286">
        <v>1</v>
      </c>
      <c r="C561" s="286"/>
      <c r="D561" s="286"/>
      <c r="E561" s="286"/>
    </row>
    <row r="562" spans="1:5">
      <c r="A562" t="s">
        <v>1217</v>
      </c>
      <c r="B562" s="286">
        <v>1</v>
      </c>
      <c r="C562" s="286"/>
      <c r="D562" s="286"/>
      <c r="E562" s="286"/>
    </row>
    <row r="563" spans="1:5">
      <c r="A563" t="s">
        <v>1218</v>
      </c>
      <c r="B563" s="286">
        <v>1</v>
      </c>
      <c r="C563" s="286"/>
      <c r="D563" s="286"/>
      <c r="E563" s="286"/>
    </row>
    <row r="564" spans="1:5">
      <c r="A564" t="s">
        <v>1219</v>
      </c>
      <c r="B564" s="286">
        <v>1</v>
      </c>
      <c r="C564" s="286"/>
      <c r="D564" s="286"/>
      <c r="E564" s="286"/>
    </row>
    <row r="565" spans="1:5">
      <c r="A565" t="s">
        <v>1220</v>
      </c>
      <c r="B565" s="286">
        <v>1</v>
      </c>
      <c r="C565" s="286"/>
      <c r="D565" s="286"/>
      <c r="E565" s="286"/>
    </row>
    <row r="566" spans="1:5">
      <c r="A566" t="s">
        <v>1221</v>
      </c>
      <c r="B566" s="286">
        <v>1</v>
      </c>
      <c r="C566" s="286"/>
      <c r="D566" s="286"/>
      <c r="E566" s="286"/>
    </row>
    <row r="567" spans="1:5">
      <c r="A567" t="s">
        <v>1222</v>
      </c>
      <c r="B567" s="286">
        <v>1</v>
      </c>
      <c r="C567" s="286"/>
      <c r="D567" s="286"/>
      <c r="E567" s="286"/>
    </row>
    <row r="568" spans="1:5">
      <c r="A568" t="s">
        <v>1223</v>
      </c>
      <c r="B568" s="286">
        <v>1</v>
      </c>
      <c r="C568" s="286"/>
      <c r="D568" s="286"/>
      <c r="E568" s="286"/>
    </row>
    <row r="569" spans="1:5">
      <c r="A569" t="s">
        <v>1224</v>
      </c>
      <c r="B569" s="286">
        <v>1</v>
      </c>
      <c r="C569" s="286"/>
      <c r="D569" s="286"/>
      <c r="E569" s="286"/>
    </row>
    <row r="570" spans="1:5">
      <c r="A570" t="s">
        <v>1225</v>
      </c>
      <c r="B570" s="286">
        <v>1</v>
      </c>
      <c r="C570" s="286"/>
      <c r="D570" s="286"/>
      <c r="E570" s="286"/>
    </row>
    <row r="571" spans="1:5">
      <c r="A571" t="s">
        <v>1226</v>
      </c>
      <c r="B571" s="286">
        <v>1</v>
      </c>
      <c r="C571" s="286"/>
      <c r="D571" s="286"/>
      <c r="E571" s="286"/>
    </row>
    <row r="572" spans="1:5">
      <c r="A572" t="s">
        <v>1227</v>
      </c>
      <c r="B572" s="286">
        <v>7</v>
      </c>
      <c r="C572" s="175">
        <v>45622</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7" width="14.8984375" customWidth="1"/>
    <col min="8" max="8" width="37.1992187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286">
        <v>3</v>
      </c>
      <c r="D11" s="286">
        <v>17</v>
      </c>
      <c r="E11" s="286"/>
      <c r="F11" s="286">
        <v>20</v>
      </c>
    </row>
    <row r="12" spans="2:12">
      <c r="B12" s="51" t="s">
        <v>123</v>
      </c>
      <c r="C12" s="286"/>
      <c r="D12" s="286">
        <v>50</v>
      </c>
      <c r="E12" s="286">
        <v>22</v>
      </c>
      <c r="F12" s="286">
        <v>72</v>
      </c>
    </row>
    <row r="13" spans="2:12">
      <c r="B13" s="51" t="s">
        <v>94</v>
      </c>
      <c r="C13" s="286">
        <v>2</v>
      </c>
      <c r="D13" s="286">
        <v>30</v>
      </c>
      <c r="E13" s="286">
        <v>1</v>
      </c>
      <c r="F13" s="286">
        <v>33</v>
      </c>
    </row>
    <row r="14" spans="2:12">
      <c r="B14" s="51" t="s">
        <v>88</v>
      </c>
      <c r="C14" s="286">
        <v>1</v>
      </c>
      <c r="D14" s="286">
        <v>14</v>
      </c>
      <c r="E14" s="286"/>
      <c r="F14" s="286">
        <v>15</v>
      </c>
    </row>
    <row r="15" spans="2:12">
      <c r="B15" s="51" t="s">
        <v>55</v>
      </c>
      <c r="C15" s="286">
        <v>4</v>
      </c>
      <c r="D15" s="286">
        <v>13</v>
      </c>
      <c r="E15" s="286"/>
      <c r="F15" s="286">
        <v>17</v>
      </c>
    </row>
    <row r="16" spans="2:12">
      <c r="B16" s="51" t="s">
        <v>37</v>
      </c>
      <c r="C16" s="286"/>
      <c r="D16" s="286"/>
      <c r="E16" s="286">
        <v>12</v>
      </c>
      <c r="F16" s="286">
        <v>12</v>
      </c>
    </row>
    <row r="17" spans="2:6">
      <c r="B17" s="51" t="s">
        <v>1227</v>
      </c>
      <c r="C17" s="286">
        <v>10</v>
      </c>
      <c r="D17" s="286">
        <v>124</v>
      </c>
      <c r="E17" s="286">
        <v>35</v>
      </c>
      <c r="F17" s="286">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286">
        <v>10</v>
      </c>
    </row>
    <row r="29" spans="2:6">
      <c r="B29" s="51" t="s">
        <v>614</v>
      </c>
      <c r="C29" s="286">
        <v>124</v>
      </c>
    </row>
    <row r="30" spans="2:6">
      <c r="B30" s="51" t="s">
        <v>619</v>
      </c>
      <c r="C30" s="286">
        <v>35</v>
      </c>
    </row>
    <row r="31" spans="2:6">
      <c r="B31" s="51" t="s">
        <v>1227</v>
      </c>
      <c r="C31" s="286">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9">
      <c r="B49" s="50" t="s">
        <v>1232</v>
      </c>
      <c r="C49" t="s">
        <v>613</v>
      </c>
      <c r="D49" t="s">
        <v>614</v>
      </c>
      <c r="E49" t="s">
        <v>1927</v>
      </c>
      <c r="F49" t="s">
        <v>616</v>
      </c>
      <c r="G49" t="s">
        <v>617</v>
      </c>
      <c r="H49" t="s">
        <v>619</v>
      </c>
      <c r="I49" t="s">
        <v>1227</v>
      </c>
    </row>
    <row r="50" spans="2:9">
      <c r="B50" s="51" t="s">
        <v>182</v>
      </c>
      <c r="C50" s="286">
        <v>2</v>
      </c>
      <c r="D50" s="286">
        <v>27</v>
      </c>
      <c r="E50" s="286"/>
      <c r="F50" s="286">
        <v>1</v>
      </c>
      <c r="G50" s="286"/>
      <c r="H50" s="286"/>
      <c r="I50" s="286">
        <v>30</v>
      </c>
    </row>
    <row r="51" spans="2:9">
      <c r="B51" s="51" t="s">
        <v>334</v>
      </c>
      <c r="C51" s="286">
        <v>1</v>
      </c>
      <c r="D51" s="286">
        <v>1</v>
      </c>
      <c r="E51" s="286"/>
      <c r="F51" s="286"/>
      <c r="G51" s="286"/>
      <c r="H51" s="286">
        <v>12</v>
      </c>
      <c r="I51" s="286">
        <v>14</v>
      </c>
    </row>
    <row r="52" spans="2:9">
      <c r="B52" s="51" t="s">
        <v>332</v>
      </c>
      <c r="C52" s="286"/>
      <c r="D52" s="286">
        <v>10</v>
      </c>
      <c r="E52" s="286">
        <v>1</v>
      </c>
      <c r="F52" s="286"/>
      <c r="G52" s="286">
        <v>4</v>
      </c>
      <c r="H52" s="286"/>
      <c r="I52" s="286">
        <v>15</v>
      </c>
    </row>
    <row r="53" spans="2:9">
      <c r="B53" s="51" t="s">
        <v>326</v>
      </c>
      <c r="C53" s="286"/>
      <c r="D53" s="286">
        <v>2</v>
      </c>
      <c r="E53" s="286">
        <v>20</v>
      </c>
      <c r="F53" s="286"/>
      <c r="G53" s="286"/>
      <c r="H53" s="286">
        <v>10</v>
      </c>
      <c r="I53" s="286">
        <v>32</v>
      </c>
    </row>
    <row r="54" spans="2:9">
      <c r="B54" s="51" t="s">
        <v>312</v>
      </c>
      <c r="C54" s="286"/>
      <c r="D54" s="286">
        <v>14</v>
      </c>
      <c r="E54" s="286"/>
      <c r="F54" s="286"/>
      <c r="G54" s="286"/>
      <c r="H54" s="286">
        <v>4</v>
      </c>
      <c r="I54" s="286">
        <v>18</v>
      </c>
    </row>
    <row r="55" spans="2:9">
      <c r="B55" s="51" t="s">
        <v>217</v>
      </c>
      <c r="C55" s="286"/>
      <c r="D55" s="286">
        <v>6</v>
      </c>
      <c r="E55" s="286"/>
      <c r="F55" s="286"/>
      <c r="G55" s="286"/>
      <c r="H55" s="286"/>
      <c r="I55" s="286">
        <v>6</v>
      </c>
    </row>
    <row r="56" spans="2:9">
      <c r="B56" s="51" t="s">
        <v>216</v>
      </c>
      <c r="C56" s="286"/>
      <c r="D56" s="286">
        <v>41</v>
      </c>
      <c r="E56" s="286"/>
      <c r="F56" s="286"/>
      <c r="G56" s="286"/>
      <c r="H56" s="286"/>
      <c r="I56" s="286">
        <v>41</v>
      </c>
    </row>
    <row r="57" spans="2:9">
      <c r="B57" s="51" t="s">
        <v>214</v>
      </c>
      <c r="C57" s="286">
        <v>3</v>
      </c>
      <c r="D57" s="286">
        <v>6</v>
      </c>
      <c r="E57" s="286"/>
      <c r="F57" s="286"/>
      <c r="G57" s="286"/>
      <c r="H57" s="286"/>
      <c r="I57" s="286">
        <v>9</v>
      </c>
    </row>
    <row r="58" spans="2:9">
      <c r="B58" s="51" t="s">
        <v>213</v>
      </c>
      <c r="C58" s="286"/>
      <c r="D58" s="286">
        <v>17</v>
      </c>
      <c r="E58" s="286"/>
      <c r="F58" s="286"/>
      <c r="G58" s="286"/>
      <c r="H58" s="286"/>
      <c r="I58" s="286">
        <v>17</v>
      </c>
    </row>
    <row r="59" spans="2:9">
      <c r="B59" s="51" t="s">
        <v>218</v>
      </c>
      <c r="C59" s="286"/>
      <c r="D59" s="286">
        <v>17</v>
      </c>
      <c r="E59" s="286"/>
      <c r="F59" s="286"/>
      <c r="G59" s="286"/>
      <c r="H59" s="286"/>
      <c r="I59" s="286">
        <v>17</v>
      </c>
    </row>
    <row r="60" spans="2:9">
      <c r="B60" s="51" t="s">
        <v>219</v>
      </c>
      <c r="C60" s="286">
        <v>7</v>
      </c>
      <c r="D60" s="286">
        <v>14</v>
      </c>
      <c r="E60" s="286"/>
      <c r="F60" s="286"/>
      <c r="G60" s="286"/>
      <c r="H60" s="286"/>
      <c r="I60" s="286">
        <v>21</v>
      </c>
    </row>
    <row r="61" spans="2:9">
      <c r="B61" s="51" t="s">
        <v>220</v>
      </c>
      <c r="C61" s="286">
        <v>1</v>
      </c>
      <c r="D61" s="286">
        <v>17</v>
      </c>
      <c r="E61" s="286"/>
      <c r="F61" s="286"/>
      <c r="G61" s="286"/>
      <c r="H61" s="286"/>
      <c r="I61" s="286">
        <v>18</v>
      </c>
    </row>
    <row r="62" spans="2:9">
      <c r="B62" s="51" t="s">
        <v>215</v>
      </c>
      <c r="C62" s="286"/>
      <c r="D62" s="286">
        <v>7</v>
      </c>
      <c r="E62" s="286"/>
      <c r="F62" s="286"/>
      <c r="G62" s="286"/>
      <c r="H62" s="286"/>
      <c r="I62" s="286">
        <v>7</v>
      </c>
    </row>
    <row r="63" spans="2:9">
      <c r="B63" s="51" t="s">
        <v>1227</v>
      </c>
      <c r="C63" s="286">
        <v>14</v>
      </c>
      <c r="D63" s="286">
        <v>179</v>
      </c>
      <c r="E63" s="286">
        <v>21</v>
      </c>
      <c r="F63" s="286">
        <v>1</v>
      </c>
      <c r="G63" s="286">
        <v>4</v>
      </c>
      <c r="H63" s="286">
        <v>26</v>
      </c>
      <c r="I63" s="286">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6">
        <v>14</v>
      </c>
    </row>
    <row r="74" spans="2:3">
      <c r="B74" s="51" t="s">
        <v>614</v>
      </c>
      <c r="C74" s="286">
        <v>179</v>
      </c>
    </row>
    <row r="75" spans="2:3">
      <c r="B75" s="51" t="s">
        <v>1927</v>
      </c>
      <c r="C75" s="286">
        <v>21</v>
      </c>
    </row>
    <row r="76" spans="2:3">
      <c r="B76" s="51" t="s">
        <v>616</v>
      </c>
      <c r="C76" s="286">
        <v>1</v>
      </c>
    </row>
    <row r="77" spans="2:3">
      <c r="B77" s="51" t="s">
        <v>617</v>
      </c>
      <c r="C77" s="286">
        <v>4</v>
      </c>
    </row>
    <row r="78" spans="2:3">
      <c r="B78" s="51" t="s">
        <v>619</v>
      </c>
      <c r="C78" s="286">
        <v>26</v>
      </c>
    </row>
    <row r="79" spans="2:3">
      <c r="B79" s="51" t="s">
        <v>1227</v>
      </c>
      <c r="C79" s="286">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286">
        <v>21</v>
      </c>
      <c r="D96" s="286">
        <v>5</v>
      </c>
      <c r="E96" s="286"/>
      <c r="F96" s="286">
        <v>3</v>
      </c>
      <c r="G96" s="286">
        <v>1</v>
      </c>
      <c r="H96" s="286">
        <v>30</v>
      </c>
    </row>
    <row r="97" spans="2:8">
      <c r="B97" s="51" t="s">
        <v>336</v>
      </c>
      <c r="C97" s="286">
        <v>12</v>
      </c>
      <c r="D97" s="286">
        <v>25</v>
      </c>
      <c r="E97" s="286">
        <v>5</v>
      </c>
      <c r="F97" s="286"/>
      <c r="G97" s="286">
        <v>1</v>
      </c>
      <c r="H97" s="286">
        <v>43</v>
      </c>
    </row>
    <row r="98" spans="2:8">
      <c r="B98" s="51" t="s">
        <v>369</v>
      </c>
      <c r="C98" s="286">
        <v>2</v>
      </c>
      <c r="D98" s="286">
        <v>13</v>
      </c>
      <c r="E98" s="286">
        <v>3</v>
      </c>
      <c r="F98" s="286"/>
      <c r="G98" s="286">
        <v>6</v>
      </c>
      <c r="H98" s="286">
        <v>24</v>
      </c>
    </row>
    <row r="99" spans="2:8">
      <c r="B99" s="51" t="s">
        <v>440</v>
      </c>
      <c r="C99" s="286">
        <v>5</v>
      </c>
      <c r="D99" s="286"/>
      <c r="E99" s="286"/>
      <c r="F99" s="286"/>
      <c r="G99" s="286"/>
      <c r="H99" s="286">
        <v>5</v>
      </c>
    </row>
    <row r="100" spans="2:8">
      <c r="B100" s="51" t="s">
        <v>442</v>
      </c>
      <c r="C100" s="286">
        <v>5</v>
      </c>
      <c r="D100" s="286"/>
      <c r="E100" s="286"/>
      <c r="F100" s="286"/>
      <c r="G100" s="286"/>
      <c r="H100" s="286">
        <v>5</v>
      </c>
    </row>
    <row r="101" spans="2:8">
      <c r="B101" s="51" t="s">
        <v>1957</v>
      </c>
      <c r="C101" s="286"/>
      <c r="D101" s="286"/>
      <c r="E101" s="286"/>
      <c r="F101" s="286"/>
      <c r="G101" s="286">
        <v>4</v>
      </c>
      <c r="H101" s="286">
        <v>4</v>
      </c>
    </row>
    <row r="102" spans="2:8">
      <c r="B102" s="51" t="s">
        <v>393</v>
      </c>
      <c r="C102" s="286">
        <v>9</v>
      </c>
      <c r="D102" s="286"/>
      <c r="E102" s="286"/>
      <c r="F102" s="286"/>
      <c r="G102" s="286"/>
      <c r="H102" s="286">
        <v>9</v>
      </c>
    </row>
    <row r="103" spans="2:8">
      <c r="B103" s="51" t="s">
        <v>1958</v>
      </c>
      <c r="C103" s="286"/>
      <c r="D103" s="286">
        <v>15</v>
      </c>
      <c r="E103" s="286"/>
      <c r="F103" s="286"/>
      <c r="G103" s="286"/>
      <c r="H103" s="286">
        <v>15</v>
      </c>
    </row>
    <row r="104" spans="2:8">
      <c r="B104" s="51" t="s">
        <v>1227</v>
      </c>
      <c r="C104" s="286">
        <v>54</v>
      </c>
      <c r="D104" s="286">
        <v>58</v>
      </c>
      <c r="E104" s="286">
        <v>8</v>
      </c>
      <c r="F104" s="286">
        <v>3</v>
      </c>
      <c r="G104" s="286">
        <v>12</v>
      </c>
      <c r="H104" s="286">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286">
        <v>54</v>
      </c>
    </row>
    <row r="117" spans="2:3">
      <c r="B117" s="51" t="s">
        <v>619</v>
      </c>
      <c r="C117" s="286">
        <v>12</v>
      </c>
    </row>
    <row r="118" spans="2:3">
      <c r="B118" s="51" t="s">
        <v>615</v>
      </c>
      <c r="C118" s="286">
        <v>8</v>
      </c>
    </row>
    <row r="119" spans="2:3">
      <c r="B119" s="51" t="s">
        <v>1927</v>
      </c>
      <c r="C119" s="286">
        <v>58</v>
      </c>
    </row>
    <row r="120" spans="2:3">
      <c r="B120" s="51" t="s">
        <v>617</v>
      </c>
      <c r="C120" s="286">
        <v>3</v>
      </c>
    </row>
    <row r="121" spans="2:3">
      <c r="B121" s="51" t="s">
        <v>1227</v>
      </c>
      <c r="C121" s="286">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D5" zoomScale="50" zoomScaleNormal="50" workbookViewId="0">
      <selection activeCell="U673" sqref="U6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1927</v>
      </c>
      <c r="J657" s="43">
        <f>VLOOKUP(Table1[[#This Row],[Status]],Auxiliar!$B$16:$C$24,2,0)</f>
        <v>2</v>
      </c>
      <c r="K657" s="2" t="s">
        <v>1252</v>
      </c>
      <c r="L657" s="29" t="s">
        <v>1250</v>
      </c>
      <c r="M657" s="21" t="s">
        <v>1260</v>
      </c>
      <c r="N657" s="48">
        <v>45611</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1927</v>
      </c>
      <c r="J658" s="43">
        <f>VLOOKUP(Table1[[#This Row],[Status]],Auxiliar!$B$16:$C$24,2,0)</f>
        <v>2</v>
      </c>
      <c r="K658" s="2" t="s">
        <v>1253</v>
      </c>
      <c r="L658" s="29" t="s">
        <v>1250</v>
      </c>
      <c r="M658" s="21" t="s">
        <v>1260</v>
      </c>
      <c r="N658" s="48">
        <v>45611</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1927</v>
      </c>
      <c r="J659" s="43">
        <f>VLOOKUP(Table1[[#This Row],[Status]],Auxiliar!$B$16:$C$24,2,0)</f>
        <v>2</v>
      </c>
      <c r="K659" s="2" t="s">
        <v>1255</v>
      </c>
      <c r="L659" s="29" t="s">
        <v>1250</v>
      </c>
      <c r="M659" s="21" t="s">
        <v>1260</v>
      </c>
      <c r="N659" s="48">
        <v>45611</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customHeight="1">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45622</v>
      </c>
      <c r="U660" s="152">
        <v>45607</v>
      </c>
      <c r="V660" s="152">
        <v>45608</v>
      </c>
      <c r="W660" s="2">
        <f>VLOOKUP(Table1[[#This Row],[Status]],Auxiliar!$B$16:$D$24,3,0)*Table1[[#This Row],[Estimação (horas)]]</f>
        <v>1</v>
      </c>
      <c r="X660" s="2"/>
    </row>
    <row r="661" spans="2:24" ht="17.7" customHeight="1">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45622</v>
      </c>
      <c r="U661" s="152">
        <v>45607</v>
      </c>
      <c r="V661" s="152">
        <v>45608</v>
      </c>
      <c r="W661" s="2">
        <f>VLOOKUP(Table1[[#This Row],[Status]],Auxiliar!$B$16:$D$24,3,0)*Table1[[#This Row],[Estimação (horas)]]</f>
        <v>1</v>
      </c>
      <c r="X661" s="2"/>
    </row>
    <row r="662" spans="2:24" ht="17.7" customHeight="1">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45622</v>
      </c>
      <c r="U662" s="152">
        <v>45607</v>
      </c>
      <c r="V662" s="152">
        <v>45608</v>
      </c>
      <c r="W662" s="2">
        <f>VLOOKUP(Table1[[#This Row],[Status]],Auxiliar!$B$16:$D$24,3,0)*Table1[[#This Row],[Estimação (horas)]]</f>
        <v>2.5000000000000001E-2</v>
      </c>
      <c r="X662" s="2"/>
    </row>
    <row r="663" spans="2:24" ht="17.7" customHeight="1">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45622</v>
      </c>
      <c r="U663" s="152">
        <v>45607</v>
      </c>
      <c r="V663" s="152">
        <v>45608</v>
      </c>
      <c r="W663" s="2">
        <f>VLOOKUP(Table1[[#This Row],[Status]],Auxiliar!$B$16:$D$24,3,0)*Table1[[#This Row],[Estimação (horas)]]</f>
        <v>1</v>
      </c>
      <c r="X663" s="2"/>
    </row>
    <row r="664" spans="2:24" ht="17.7" customHeight="1">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45622</v>
      </c>
      <c r="U664" s="152">
        <v>45607</v>
      </c>
      <c r="V664" s="152">
        <v>45608</v>
      </c>
      <c r="W664" s="2">
        <f>VLOOKUP(Table1[[#This Row],[Status]],Auxiliar!$B$16:$D$24,3,0)*Table1[[#This Row],[Estimação (horas)]]</f>
        <v>1</v>
      </c>
      <c r="X664" s="2"/>
    </row>
    <row r="665" spans="2:24" ht="17.7" customHeight="1">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45622</v>
      </c>
      <c r="U665" s="152">
        <v>45607</v>
      </c>
      <c r="V665" s="152">
        <v>45608</v>
      </c>
      <c r="W665" s="2">
        <f>VLOOKUP(Table1[[#This Row],[Status]],Auxiliar!$B$16:$D$24,3,0)*Table1[[#This Row],[Estimação (horas)]]</f>
        <v>2.5000000000000001E-2</v>
      </c>
      <c r="X665" s="2"/>
    </row>
    <row r="666" spans="2:24" ht="17.7"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45622</v>
      </c>
      <c r="U672" s="152">
        <v>45607</v>
      </c>
      <c r="V672" s="152">
        <v>45608</v>
      </c>
      <c r="W672" s="2">
        <f>VLOOKUP(Table1[[#This Row],[Status]],Auxiliar!$B$16:$D$24,3,0)*Table1[[#This Row],[Estimação (horas)]]</f>
        <v>2</v>
      </c>
      <c r="X672" s="2"/>
    </row>
    <row r="673" spans="2:24" ht="69.599999999999994" customHeight="1">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45622</v>
      </c>
      <c r="U673" s="152">
        <v>45607</v>
      </c>
      <c r="V673" s="152">
        <v>45608</v>
      </c>
      <c r="W673" s="2">
        <f>VLOOKUP(Table1[[#This Row],[Status]],Auxiliar!$B$16:$D$24,3,0)*Table1[[#This Row],[Estimação (horas)]]</f>
        <v>2</v>
      </c>
      <c r="X673" s="2"/>
    </row>
    <row r="674" spans="2:24" ht="69.599999999999994" customHeight="1">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45622</v>
      </c>
      <c r="U674" s="152">
        <v>45607</v>
      </c>
      <c r="V674" s="152">
        <v>45608</v>
      </c>
      <c r="W674" s="2">
        <f>VLOOKUP(Table1[[#This Row],[Status]],Auxiliar!$B$16:$D$24,3,0)*Table1[[#This Row],[Estimação (horas)]]</f>
        <v>2.5000000000000001E-2</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45622</v>
      </c>
      <c r="U675" s="152">
        <v>45607</v>
      </c>
      <c r="V675" s="152">
        <v>45608</v>
      </c>
      <c r="W675" s="2">
        <f>VLOOKUP(Table1[[#This Row],[Status]],Auxiliar!$B$16:$D$24,3,0)*Table1[[#This Row],[Estimação (horas)]]</f>
        <v>2</v>
      </c>
      <c r="X675" s="2"/>
    </row>
    <row r="676" spans="2:24" ht="69.599999999999994" customHeight="1">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45622</v>
      </c>
      <c r="U676" s="152">
        <v>45607</v>
      </c>
      <c r="V676" s="152">
        <v>45608</v>
      </c>
      <c r="W676" s="2">
        <f>VLOOKUP(Table1[[#This Row],[Status]],Auxiliar!$B$16:$D$24,3,0)*Table1[[#This Row],[Estimação (horas)]]</f>
        <v>2</v>
      </c>
      <c r="X676" s="2"/>
    </row>
    <row r="677" spans="2:24" ht="69.599999999999994" customHeight="1">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45622</v>
      </c>
      <c r="U677" s="152">
        <v>45607</v>
      </c>
      <c r="V677" s="152">
        <v>45608</v>
      </c>
      <c r="W677" s="2">
        <f>VLOOKUP(Table1[[#This Row],[Status]],Auxiliar!$B$16:$D$24,3,0)*Table1[[#This Row],[Estimação (horas)]]</f>
        <v>2.5000000000000001E-2</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85"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85"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1927</v>
      </c>
      <c r="J1122" s="45">
        <f>VLOOKUP(Table1[[#This Row],[Status]],Auxiliar!$B$16:$C$24,2,0)</f>
        <v>2</v>
      </c>
      <c r="K1122" s="45" t="s">
        <v>1252</v>
      </c>
      <c r="L1122" s="46" t="s">
        <v>1258</v>
      </c>
      <c r="M1122" s="21" t="s">
        <v>1259</v>
      </c>
      <c r="N1122" s="48">
        <v>45611</v>
      </c>
      <c r="O1122" s="21">
        <f>INDEX(Auxiliar!$D$5:$F$13,MATCH(Table1[[#This Row],[Tipologia_Testes]],Auxiliar!$B$5:$B$13,0),MATCH(Table1[[#This Row],[Complexidade]],Auxiliar!$D$4:$F$4,0))</f>
        <v>2</v>
      </c>
      <c r="P1122" s="43" t="s">
        <v>1344</v>
      </c>
      <c r="Q1122" s="114"/>
      <c r="R1122" s="152">
        <v>45604</v>
      </c>
      <c r="S1122" s="152"/>
      <c r="T1122" s="152"/>
      <c r="U1122" s="152"/>
      <c r="V1122" s="152">
        <v>45611</v>
      </c>
      <c r="W1122" s="2">
        <f>VLOOKUP(Table1[[#This Row],[Status]],Auxiliar!$B$16:$D$24,3,0)*Table1[[#This Row],[Estimação (horas)]]</f>
        <v>1</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1927</v>
      </c>
      <c r="J1123" s="45">
        <f>VLOOKUP(Table1[[#This Row],[Status]],Auxiliar!$B$16:$C$24,2,0)</f>
        <v>2</v>
      </c>
      <c r="K1123" s="45" t="s">
        <v>1253</v>
      </c>
      <c r="L1123" s="46" t="s">
        <v>1258</v>
      </c>
      <c r="M1123" s="21" t="s">
        <v>1259</v>
      </c>
      <c r="N1123" s="48">
        <v>45611</v>
      </c>
      <c r="O1123" s="21">
        <f>INDEX(Auxiliar!$D$5:$F$13,MATCH(Table1[[#This Row],[Tipologia_Testes]],Auxiliar!$B$5:$B$13,0),MATCH(Table1[[#This Row],[Complexidade]],Auxiliar!$D$4:$F$4,0))</f>
        <v>2</v>
      </c>
      <c r="P1123" s="43" t="s">
        <v>1344</v>
      </c>
      <c r="Q1123" s="114"/>
      <c r="R1123" s="152">
        <v>45604</v>
      </c>
      <c r="S1123" s="152"/>
      <c r="T1123" s="152"/>
      <c r="U1123" s="152"/>
      <c r="V1123" s="152">
        <v>45611</v>
      </c>
      <c r="W1123" s="2">
        <f>VLOOKUP(Table1[[#This Row],[Status]],Auxiliar!$B$16:$D$24,3,0)*Table1[[#This Row],[Estimação (horas)]]</f>
        <v>1</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1927</v>
      </c>
      <c r="J1124" s="45">
        <f>VLOOKUP(Table1[[#This Row],[Status]],Auxiliar!$B$16:$C$24,2,0)</f>
        <v>2</v>
      </c>
      <c r="K1124" s="45" t="s">
        <v>1255</v>
      </c>
      <c r="L1124" s="46" t="s">
        <v>1258</v>
      </c>
      <c r="M1124" s="21" t="s">
        <v>1259</v>
      </c>
      <c r="N1124" s="48">
        <v>45611</v>
      </c>
      <c r="O1124" s="21">
        <f>INDEX(Auxiliar!$D$5:$F$13,MATCH(Table1[[#This Row],[Tipologia_Testes]],Auxiliar!$B$5:$B$13,0),MATCH(Table1[[#This Row],[Complexidade]],Auxiliar!$D$4:$F$4,0))</f>
        <v>0.1</v>
      </c>
      <c r="P1124" s="43" t="s">
        <v>1344</v>
      </c>
      <c r="Q1124" s="114"/>
      <c r="R1124" s="152">
        <v>45604</v>
      </c>
      <c r="S1124" s="152"/>
      <c r="T1124" s="152"/>
      <c r="U1124" s="152"/>
      <c r="V1124" s="152">
        <v>45611</v>
      </c>
      <c r="W1124" s="2">
        <f>VLOOKUP(Table1[[#This Row],[Status]],Auxiliar!$B$16:$D$24,3,0)*Table1[[#This Row],[Estimação (horas)]]</f>
        <v>0.05</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1927</v>
      </c>
      <c r="J1125" s="45">
        <f>VLOOKUP(Table1[[#This Row],[Status]],Auxiliar!$B$16:$C$24,2,0)</f>
        <v>2</v>
      </c>
      <c r="K1125" s="45" t="s">
        <v>1252</v>
      </c>
      <c r="L1125" s="46" t="s">
        <v>1258</v>
      </c>
      <c r="M1125" s="21" t="s">
        <v>1259</v>
      </c>
      <c r="N1125" s="48">
        <v>45611</v>
      </c>
      <c r="O1125" s="21">
        <f>INDEX(Auxiliar!$D$5:$F$13,MATCH(Table1[[#This Row],[Tipologia_Testes]],Auxiliar!$B$5:$B$13,0),MATCH(Table1[[#This Row],[Complexidade]],Auxiliar!$D$4:$F$4,0))</f>
        <v>2</v>
      </c>
      <c r="P1125" s="43" t="s">
        <v>1344</v>
      </c>
      <c r="Q1125" s="152"/>
      <c r="R1125" s="152">
        <v>45604</v>
      </c>
      <c r="S1125" s="152"/>
      <c r="T1125" s="152"/>
      <c r="U1125" s="152"/>
      <c r="V1125" s="152">
        <v>45611</v>
      </c>
      <c r="W1125" s="2">
        <f>VLOOKUP(Table1[[#This Row],[Status]],Auxiliar!$B$16:$D$24,3,0)*Table1[[#This Row],[Estimação (horas)]]</f>
        <v>1</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1927</v>
      </c>
      <c r="J1126" s="45">
        <f>VLOOKUP(Table1[[#This Row],[Status]],Auxiliar!$B$16:$C$24,2,0)</f>
        <v>2</v>
      </c>
      <c r="K1126" s="45" t="s">
        <v>1253</v>
      </c>
      <c r="L1126" s="46" t="s">
        <v>1258</v>
      </c>
      <c r="M1126" s="21" t="s">
        <v>1259</v>
      </c>
      <c r="N1126" s="48">
        <v>45611</v>
      </c>
      <c r="O1126" s="21">
        <f>INDEX(Auxiliar!$D$5:$F$13,MATCH(Table1[[#This Row],[Tipologia_Testes]],Auxiliar!$B$5:$B$13,0),MATCH(Table1[[#This Row],[Complexidade]],Auxiliar!$D$4:$F$4,0))</f>
        <v>2</v>
      </c>
      <c r="P1126" s="43" t="s">
        <v>1344</v>
      </c>
      <c r="Q1126" s="152"/>
      <c r="R1126" s="152">
        <v>45604</v>
      </c>
      <c r="S1126" s="152"/>
      <c r="T1126" s="152"/>
      <c r="U1126" s="152"/>
      <c r="V1126" s="152">
        <v>45611</v>
      </c>
      <c r="W1126" s="2">
        <f>VLOOKUP(Table1[[#This Row],[Status]],Auxiliar!$B$16:$D$24,3,0)*Table1[[#This Row],[Estimação (horas)]]</f>
        <v>1</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1927</v>
      </c>
      <c r="J1127" s="45">
        <f>VLOOKUP(Table1[[#This Row],[Status]],Auxiliar!$B$16:$C$24,2,0)</f>
        <v>2</v>
      </c>
      <c r="K1127" s="45" t="s">
        <v>1255</v>
      </c>
      <c r="L1127" s="46" t="s">
        <v>1258</v>
      </c>
      <c r="M1127" s="21" t="s">
        <v>1259</v>
      </c>
      <c r="N1127" s="48">
        <v>45611</v>
      </c>
      <c r="O1127" s="21">
        <f>INDEX(Auxiliar!$D$5:$F$13,MATCH(Table1[[#This Row],[Tipologia_Testes]],Auxiliar!$B$5:$B$13,0),MATCH(Table1[[#This Row],[Complexidade]],Auxiliar!$D$4:$F$4,0))</f>
        <v>0.1</v>
      </c>
      <c r="P1127" s="43" t="s">
        <v>1344</v>
      </c>
      <c r="Q1127" s="152"/>
      <c r="R1127" s="152">
        <v>45604</v>
      </c>
      <c r="S1127" s="152"/>
      <c r="T1127" s="152"/>
      <c r="U1127" s="152"/>
      <c r="V1127" s="152">
        <v>45611</v>
      </c>
      <c r="W1127" s="2">
        <f>VLOOKUP(Table1[[#This Row],[Status]],Auxiliar!$B$16:$D$24,3,0)*Table1[[#This Row],[Estimação (horas)]]</f>
        <v>0.05</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1927</v>
      </c>
      <c r="J1128" s="45">
        <f>VLOOKUP(Table1[[#This Row],[Status]],Auxiliar!$B$16:$C$24,2,0)</f>
        <v>2</v>
      </c>
      <c r="K1128" s="45" t="s">
        <v>1252</v>
      </c>
      <c r="L1128" s="46" t="s">
        <v>1258</v>
      </c>
      <c r="M1128" s="21" t="s">
        <v>1259</v>
      </c>
      <c r="N1128" s="48">
        <v>45611</v>
      </c>
      <c r="O1128" s="21">
        <f>INDEX(Auxiliar!$D$5:$F$13,MATCH(Table1[[#This Row],[Tipologia_Testes]],Auxiliar!$B$5:$B$13,0),MATCH(Table1[[#This Row],[Complexidade]],Auxiliar!$D$4:$F$4,0))</f>
        <v>2</v>
      </c>
      <c r="P1128" s="43" t="s">
        <v>1344</v>
      </c>
      <c r="Q1128" s="152"/>
      <c r="R1128" s="152">
        <v>45604</v>
      </c>
      <c r="S1128" s="152"/>
      <c r="T1128" s="152"/>
      <c r="U1128" s="152"/>
      <c r="V1128" s="152">
        <v>45611</v>
      </c>
      <c r="W1128" s="2">
        <f>VLOOKUP(Table1[[#This Row],[Status]],Auxiliar!$B$16:$D$24,3,0)*Table1[[#This Row],[Estimação (horas)]]</f>
        <v>1</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1927</v>
      </c>
      <c r="J1129" s="45">
        <f>VLOOKUP(Table1[[#This Row],[Status]],Auxiliar!$B$16:$C$24,2,0)</f>
        <v>2</v>
      </c>
      <c r="K1129" s="45" t="s">
        <v>1253</v>
      </c>
      <c r="L1129" s="46" t="s">
        <v>1258</v>
      </c>
      <c r="M1129" s="21" t="s">
        <v>1259</v>
      </c>
      <c r="N1129" s="48">
        <v>45611</v>
      </c>
      <c r="O1129" s="21">
        <f>INDEX(Auxiliar!$D$5:$F$13,MATCH(Table1[[#This Row],[Tipologia_Testes]],Auxiliar!$B$5:$B$13,0),MATCH(Table1[[#This Row],[Complexidade]],Auxiliar!$D$4:$F$4,0))</f>
        <v>2</v>
      </c>
      <c r="P1129" s="43" t="s">
        <v>1344</v>
      </c>
      <c r="Q1129" s="152"/>
      <c r="R1129" s="152">
        <v>45604</v>
      </c>
      <c r="S1129" s="152"/>
      <c r="T1129" s="152"/>
      <c r="U1129" s="152"/>
      <c r="V1129" s="152">
        <v>45611</v>
      </c>
      <c r="W1129" s="2">
        <f>VLOOKUP(Table1[[#This Row],[Status]],Auxiliar!$B$16:$D$24,3,0)*Table1[[#This Row],[Estimação (horas)]]</f>
        <v>1</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1927</v>
      </c>
      <c r="J1130" s="45">
        <f>VLOOKUP(Table1[[#This Row],[Status]],Auxiliar!$B$16:$C$24,2,0)</f>
        <v>2</v>
      </c>
      <c r="K1130" s="45" t="s">
        <v>1255</v>
      </c>
      <c r="L1130" s="46" t="s">
        <v>1258</v>
      </c>
      <c r="M1130" s="21" t="s">
        <v>1259</v>
      </c>
      <c r="N1130" s="48">
        <v>45611</v>
      </c>
      <c r="O1130" s="21">
        <f>INDEX(Auxiliar!$D$5:$F$13,MATCH(Table1[[#This Row],[Tipologia_Testes]],Auxiliar!$B$5:$B$13,0),MATCH(Table1[[#This Row],[Complexidade]],Auxiliar!$D$4:$F$4,0))</f>
        <v>0.1</v>
      </c>
      <c r="P1130" s="43" t="s">
        <v>1344</v>
      </c>
      <c r="Q1130" s="152"/>
      <c r="R1130" s="152">
        <v>45604</v>
      </c>
      <c r="S1130" s="152"/>
      <c r="T1130" s="152"/>
      <c r="U1130" s="152"/>
      <c r="V1130" s="152">
        <v>45611</v>
      </c>
      <c r="W1130" s="2">
        <f>VLOOKUP(Table1[[#This Row],[Status]],Auxiliar!$B$16:$D$24,3,0)*Table1[[#This Row],[Estimação (horas)]]</f>
        <v>0.05</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1927</v>
      </c>
      <c r="J1131" s="45">
        <f>VLOOKUP(Table1[[#This Row],[Status]],Auxiliar!$B$16:$C$24,2,0)</f>
        <v>2</v>
      </c>
      <c r="K1131" s="45" t="s">
        <v>1252</v>
      </c>
      <c r="L1131" s="46" t="s">
        <v>1258</v>
      </c>
      <c r="M1131" s="21" t="s">
        <v>1259</v>
      </c>
      <c r="N1131" s="48">
        <v>45611</v>
      </c>
      <c r="O1131" s="21">
        <f>INDEX(Auxiliar!$D$5:$F$13,MATCH(Table1[[#This Row],[Tipologia_Testes]],Auxiliar!$B$5:$B$13,0),MATCH(Table1[[#This Row],[Complexidade]],Auxiliar!$D$4:$F$4,0))</f>
        <v>2</v>
      </c>
      <c r="P1131" s="43" t="s">
        <v>1356</v>
      </c>
      <c r="Q1131" s="152"/>
      <c r="R1131" s="152">
        <v>45604</v>
      </c>
      <c r="S1131" s="152"/>
      <c r="T1131" s="152"/>
      <c r="U1131" s="152"/>
      <c r="V1131" s="152">
        <v>45611</v>
      </c>
      <c r="W1131" s="2">
        <f>VLOOKUP(Table1[[#This Row],[Status]],Auxiliar!$B$16:$D$24,3,0)*Table1[[#This Row],[Estimação (horas)]]</f>
        <v>1</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1927</v>
      </c>
      <c r="J1132" s="45">
        <f>VLOOKUP(Table1[[#This Row],[Status]],Auxiliar!$B$16:$C$24,2,0)</f>
        <v>2</v>
      </c>
      <c r="K1132" s="45" t="s">
        <v>1253</v>
      </c>
      <c r="L1132" s="46" t="s">
        <v>1258</v>
      </c>
      <c r="M1132" s="21" t="s">
        <v>1259</v>
      </c>
      <c r="N1132" s="48">
        <v>45611</v>
      </c>
      <c r="O1132" s="21">
        <f>INDEX(Auxiliar!$D$5:$F$13,MATCH(Table1[[#This Row],[Tipologia_Testes]],Auxiliar!$B$5:$B$13,0),MATCH(Table1[[#This Row],[Complexidade]],Auxiliar!$D$4:$F$4,0))</f>
        <v>2</v>
      </c>
      <c r="P1132" s="43" t="s">
        <v>1356</v>
      </c>
      <c r="Q1132" s="152"/>
      <c r="R1132" s="152">
        <v>45604</v>
      </c>
      <c r="S1132" s="152"/>
      <c r="T1132" s="152"/>
      <c r="U1132" s="152"/>
      <c r="V1132" s="152">
        <v>45611</v>
      </c>
      <c r="W1132" s="2">
        <f>VLOOKUP(Table1[[#This Row],[Status]],Auxiliar!$B$16:$D$24,3,0)*Table1[[#This Row],[Estimação (horas)]]</f>
        <v>1</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1927</v>
      </c>
      <c r="J1133" s="45">
        <f>VLOOKUP(Table1[[#This Row],[Status]],Auxiliar!$B$16:$C$24,2,0)</f>
        <v>2</v>
      </c>
      <c r="K1133" s="45" t="s">
        <v>1255</v>
      </c>
      <c r="L1133" s="46" t="s">
        <v>1258</v>
      </c>
      <c r="M1133" s="21" t="s">
        <v>1259</v>
      </c>
      <c r="N1133" s="48">
        <v>45611</v>
      </c>
      <c r="O1133" s="21">
        <f>INDEX(Auxiliar!$D$5:$F$13,MATCH(Table1[[#This Row],[Tipologia_Testes]],Auxiliar!$B$5:$B$13,0),MATCH(Table1[[#This Row],[Complexidade]],Auxiliar!$D$4:$F$4,0))</f>
        <v>0.1</v>
      </c>
      <c r="P1133" s="43" t="s">
        <v>1356</v>
      </c>
      <c r="Q1133" s="152"/>
      <c r="R1133" s="152">
        <v>45604</v>
      </c>
      <c r="S1133" s="152"/>
      <c r="T1133" s="152"/>
      <c r="U1133" s="152"/>
      <c r="V1133" s="152">
        <v>45611</v>
      </c>
      <c r="W1133" s="2">
        <f>VLOOKUP(Table1[[#This Row],[Status]],Auxiliar!$B$16:$D$24,3,0)*Table1[[#This Row],[Estimação (horas)]]</f>
        <v>0.05</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1927</v>
      </c>
      <c r="J1134" s="45">
        <f>VLOOKUP(Table1[[#This Row],[Status]],Auxiliar!$B$16:$C$24,2,0)</f>
        <v>2</v>
      </c>
      <c r="K1134" s="45" t="s">
        <v>1252</v>
      </c>
      <c r="L1134" s="46" t="s">
        <v>1258</v>
      </c>
      <c r="M1134" s="21" t="s">
        <v>1259</v>
      </c>
      <c r="N1134" s="48">
        <v>45611</v>
      </c>
      <c r="O1134" s="21">
        <f>INDEX(Auxiliar!$D$5:$F$13,MATCH(Table1[[#This Row],[Tipologia_Testes]],Auxiliar!$B$5:$B$13,0),MATCH(Table1[[#This Row],[Complexidade]],Auxiliar!$D$4:$F$4,0))</f>
        <v>2</v>
      </c>
      <c r="P1134" s="43" t="s">
        <v>1356</v>
      </c>
      <c r="Q1134" s="152"/>
      <c r="R1134" s="152">
        <v>45604</v>
      </c>
      <c r="S1134" s="152"/>
      <c r="T1134" s="152"/>
      <c r="U1134" s="152"/>
      <c r="V1134" s="152">
        <v>45611</v>
      </c>
      <c r="W1134" s="2">
        <f>VLOOKUP(Table1[[#This Row],[Status]],Auxiliar!$B$16:$D$24,3,0)*Table1[[#This Row],[Estimação (horas)]]</f>
        <v>1</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1927</v>
      </c>
      <c r="J1135" s="45">
        <f>VLOOKUP(Table1[[#This Row],[Status]],Auxiliar!$B$16:$C$24,2,0)</f>
        <v>2</v>
      </c>
      <c r="K1135" s="45" t="s">
        <v>1253</v>
      </c>
      <c r="L1135" s="46" t="s">
        <v>1258</v>
      </c>
      <c r="M1135" s="21" t="s">
        <v>1259</v>
      </c>
      <c r="N1135" s="48">
        <v>45611</v>
      </c>
      <c r="O1135" s="21">
        <f>INDEX(Auxiliar!$D$5:$F$13,MATCH(Table1[[#This Row],[Tipologia_Testes]],Auxiliar!$B$5:$B$13,0),MATCH(Table1[[#This Row],[Complexidade]],Auxiliar!$D$4:$F$4,0))</f>
        <v>2</v>
      </c>
      <c r="P1135" s="43" t="s">
        <v>1356</v>
      </c>
      <c r="Q1135" s="152"/>
      <c r="R1135" s="152">
        <v>45604</v>
      </c>
      <c r="S1135" s="152"/>
      <c r="T1135" s="152"/>
      <c r="U1135" s="152"/>
      <c r="V1135" s="152">
        <v>45611</v>
      </c>
      <c r="W1135" s="2">
        <f>VLOOKUP(Table1[[#This Row],[Status]],Auxiliar!$B$16:$D$24,3,0)*Table1[[#This Row],[Estimação (horas)]]</f>
        <v>1</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1927</v>
      </c>
      <c r="J1136" s="45">
        <f>VLOOKUP(Table1[[#This Row],[Status]],Auxiliar!$B$16:$C$24,2,0)</f>
        <v>2</v>
      </c>
      <c r="K1136" s="45" t="s">
        <v>1255</v>
      </c>
      <c r="L1136" s="46" t="s">
        <v>1258</v>
      </c>
      <c r="M1136" s="21" t="s">
        <v>1259</v>
      </c>
      <c r="N1136" s="48">
        <v>45611</v>
      </c>
      <c r="O1136" s="21">
        <f>INDEX(Auxiliar!$D$5:$F$13,MATCH(Table1[[#This Row],[Tipologia_Testes]],Auxiliar!$B$5:$B$13,0),MATCH(Table1[[#This Row],[Complexidade]],Auxiliar!$D$4:$F$4,0))</f>
        <v>0.1</v>
      </c>
      <c r="P1136" s="43" t="s">
        <v>1356</v>
      </c>
      <c r="Q1136" s="152"/>
      <c r="R1136" s="152">
        <v>45604</v>
      </c>
      <c r="S1136" s="152"/>
      <c r="T1136" s="152"/>
      <c r="U1136" s="152"/>
      <c r="V1136" s="152">
        <v>45611</v>
      </c>
      <c r="W1136" s="2">
        <f>VLOOKUP(Table1[[#This Row],[Status]],Auxiliar!$B$16:$D$24,3,0)*Table1[[#This Row],[Estimação (horas)]]</f>
        <v>0.05</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1927</v>
      </c>
      <c r="J1137" s="45">
        <f>VLOOKUP(Table1[[#This Row],[Status]],Auxiliar!$B$16:$C$24,2,0)</f>
        <v>2</v>
      </c>
      <c r="K1137" s="45" t="s">
        <v>1252</v>
      </c>
      <c r="L1137" s="46" t="s">
        <v>1258</v>
      </c>
      <c r="M1137" s="21" t="s">
        <v>1259</v>
      </c>
      <c r="N1137" s="48">
        <v>45611</v>
      </c>
      <c r="O1137" s="21">
        <f>INDEX(Auxiliar!$D$5:$F$13,MATCH(Table1[[#This Row],[Tipologia_Testes]],Auxiliar!$B$5:$B$13,0),MATCH(Table1[[#This Row],[Complexidade]],Auxiliar!$D$4:$F$4,0))</f>
        <v>2</v>
      </c>
      <c r="P1137" s="43" t="s">
        <v>1356</v>
      </c>
      <c r="Q1137" s="152"/>
      <c r="R1137" s="152">
        <v>45604</v>
      </c>
      <c r="S1137" s="152"/>
      <c r="T1137" s="152"/>
      <c r="U1137" s="152"/>
      <c r="V1137" s="152">
        <v>45611</v>
      </c>
      <c r="W1137" s="2">
        <f>VLOOKUP(Table1[[#This Row],[Status]],Auxiliar!$B$16:$D$24,3,0)*Table1[[#This Row],[Estimação (horas)]]</f>
        <v>1</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1927</v>
      </c>
      <c r="J1138" s="45">
        <f>VLOOKUP(Table1[[#This Row],[Status]],Auxiliar!$B$16:$C$24,2,0)</f>
        <v>2</v>
      </c>
      <c r="K1138" s="45" t="s">
        <v>1253</v>
      </c>
      <c r="L1138" s="46" t="s">
        <v>1258</v>
      </c>
      <c r="M1138" s="21" t="s">
        <v>1259</v>
      </c>
      <c r="N1138" s="48">
        <v>45611</v>
      </c>
      <c r="O1138" s="21">
        <f>INDEX(Auxiliar!$D$5:$F$13,MATCH(Table1[[#This Row],[Tipologia_Testes]],Auxiliar!$B$5:$B$13,0),MATCH(Table1[[#This Row],[Complexidade]],Auxiliar!$D$4:$F$4,0))</f>
        <v>2</v>
      </c>
      <c r="P1138" s="43" t="s">
        <v>1356</v>
      </c>
      <c r="Q1138" s="152"/>
      <c r="R1138" s="152">
        <v>45604</v>
      </c>
      <c r="S1138" s="152"/>
      <c r="T1138" s="152"/>
      <c r="U1138" s="152"/>
      <c r="V1138" s="152">
        <v>45611</v>
      </c>
      <c r="W1138" s="2">
        <f>VLOOKUP(Table1[[#This Row],[Status]],Auxiliar!$B$16:$D$24,3,0)*Table1[[#This Row],[Estimação (horas)]]</f>
        <v>1</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1927</v>
      </c>
      <c r="J1139" s="45">
        <f>VLOOKUP(Table1[[#This Row],[Status]],Auxiliar!$B$16:$C$24,2,0)</f>
        <v>2</v>
      </c>
      <c r="K1139" s="45" t="s">
        <v>1255</v>
      </c>
      <c r="L1139" s="46" t="s">
        <v>1258</v>
      </c>
      <c r="M1139" s="21" t="s">
        <v>1259</v>
      </c>
      <c r="N1139" s="48">
        <v>45611</v>
      </c>
      <c r="O1139" s="21">
        <f>INDEX(Auxiliar!$D$5:$F$13,MATCH(Table1[[#This Row],[Tipologia_Testes]],Auxiliar!$B$5:$B$13,0),MATCH(Table1[[#This Row],[Complexidade]],Auxiliar!$D$4:$F$4,0))</f>
        <v>0.1</v>
      </c>
      <c r="P1139" s="43" t="s">
        <v>1356</v>
      </c>
      <c r="Q1139" s="152"/>
      <c r="R1139" s="152">
        <v>45604</v>
      </c>
      <c r="S1139" s="152"/>
      <c r="T1139" s="152"/>
      <c r="U1139" s="152"/>
      <c r="V1139" s="152">
        <v>45611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1927</v>
      </c>
      <c r="J1173" s="45">
        <f>VLOOKUP(Table1[[#This Row],[Status]],Auxiliar!$B$16:$C$24,2,0)</f>
        <v>2</v>
      </c>
      <c r="K1173" s="45" t="s">
        <v>1252</v>
      </c>
      <c r="L1173" s="46" t="s">
        <v>1258</v>
      </c>
      <c r="M1173" s="21" t="s">
        <v>1259</v>
      </c>
      <c r="N1173" s="48">
        <v>45611</v>
      </c>
      <c r="O1173" s="21">
        <f>INDEX(Auxiliar!$D$5:$F$13,MATCH(Table1[[#This Row],[Tipologia_Testes]],Auxiliar!$B$5:$B$13,0),MATCH(Table1[[#This Row],[Complexidade]],Auxiliar!$D$4:$F$4,0))</f>
        <v>2</v>
      </c>
      <c r="P1173" s="43"/>
      <c r="Q1173" s="152"/>
      <c r="R1173" s="152">
        <v>45593</v>
      </c>
      <c r="S1173" s="152"/>
      <c r="T1173" s="152">
        <v>45593</v>
      </c>
      <c r="U1173" s="152">
        <v>45611</v>
      </c>
      <c r="V1173" s="152">
        <v>374329</v>
      </c>
      <c r="W1173" s="2">
        <f>VLOOKUP(Table1[[#This Row],[Status]],Auxiliar!$B$16:$D$24,3,0)*Table1[[#This Row],[Estimação (horas)]]</f>
        <v>1</v>
      </c>
      <c r="X1173" s="114"/>
    </row>
    <row r="1174" spans="2:24" ht="17.7" hidden="1"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1927</v>
      </c>
      <c r="J1174" s="45">
        <f>VLOOKUP(Table1[[#This Row],[Status]],Auxiliar!$B$16:$C$24,2,0)</f>
        <v>2</v>
      </c>
      <c r="K1174" s="45" t="s">
        <v>1253</v>
      </c>
      <c r="L1174" s="46" t="s">
        <v>1258</v>
      </c>
      <c r="M1174" s="21" t="s">
        <v>1259</v>
      </c>
      <c r="N1174" s="48">
        <v>45611</v>
      </c>
      <c r="O1174" s="21">
        <f>INDEX(Auxiliar!$D$5:$F$13,MATCH(Table1[[#This Row],[Tipologia_Testes]],Auxiliar!$B$5:$B$13,0),MATCH(Table1[[#This Row],[Complexidade]],Auxiliar!$D$4:$F$4,0))</f>
        <v>2</v>
      </c>
      <c r="P1174" s="43"/>
      <c r="Q1174" s="152"/>
      <c r="R1174" s="152">
        <v>45593</v>
      </c>
      <c r="S1174" s="152"/>
      <c r="T1174" s="152">
        <v>45593</v>
      </c>
      <c r="U1174" s="152">
        <v>45611</v>
      </c>
      <c r="V1174" s="152">
        <v>374329</v>
      </c>
      <c r="W1174" s="2">
        <f>VLOOKUP(Table1[[#This Row],[Status]],Auxiliar!$B$16:$D$24,3,0)*Table1[[#This Row],[Estimação (horas)]]</f>
        <v>1</v>
      </c>
      <c r="X1174" s="114"/>
    </row>
    <row r="1175" spans="2:24" ht="17.7" hidden="1"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1927</v>
      </c>
      <c r="J1175" s="45">
        <f>VLOOKUP(Table1[[#This Row],[Status]],Auxiliar!$B$16:$C$24,2,0)</f>
        <v>2</v>
      </c>
      <c r="K1175" s="45" t="s">
        <v>1255</v>
      </c>
      <c r="L1175" s="46" t="s">
        <v>1258</v>
      </c>
      <c r="M1175" s="21" t="s">
        <v>1259</v>
      </c>
      <c r="N1175" s="48">
        <v>45611</v>
      </c>
      <c r="O1175" s="21">
        <f>INDEX(Auxiliar!$D$5:$F$13,MATCH(Table1[[#This Row],[Tipologia_Testes]],Auxiliar!$B$5:$B$13,0),MATCH(Table1[[#This Row],[Complexidade]],Auxiliar!$D$4:$F$4,0))</f>
        <v>0.1</v>
      </c>
      <c r="P1175" s="43"/>
      <c r="Q1175" s="152"/>
      <c r="R1175" s="152">
        <v>45593</v>
      </c>
      <c r="S1175" s="152"/>
      <c r="T1175" s="152">
        <v>45593</v>
      </c>
      <c r="U1175" s="152">
        <v>45611</v>
      </c>
      <c r="V1175" s="152">
        <v>374329</v>
      </c>
      <c r="W1175" s="2">
        <f>VLOOKUP(Table1[[#This Row],[Status]],Auxiliar!$B$16:$D$24,3,0)*Table1[[#This Row],[Estimação (horas)]]</f>
        <v>0.05</v>
      </c>
      <c r="X1175" s="114"/>
    </row>
    <row r="1176" spans="2:24" ht="34.950000000000003" hidden="1"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1927</v>
      </c>
      <c r="J1176" s="45">
        <f>VLOOKUP(Table1[[#This Row],[Status]],Auxiliar!$B$16:$C$24,2,0)</f>
        <v>2</v>
      </c>
      <c r="K1176" s="45" t="s">
        <v>1252</v>
      </c>
      <c r="L1176" s="46" t="s">
        <v>1258</v>
      </c>
      <c r="M1176" s="21" t="s">
        <v>1259</v>
      </c>
      <c r="N1176" s="48">
        <v>45611</v>
      </c>
      <c r="O1176" s="21">
        <f>INDEX(Auxiliar!$D$5:$F$13,MATCH(Table1[[#This Row],[Tipologia_Testes]],Auxiliar!$B$5:$B$13,0),MATCH(Table1[[#This Row],[Complexidade]],Auxiliar!$D$4:$F$4,0))</f>
        <v>2</v>
      </c>
      <c r="P1176" s="43"/>
      <c r="Q1176" s="152"/>
      <c r="R1176" s="152">
        <v>45593</v>
      </c>
      <c r="S1176" s="152"/>
      <c r="T1176" s="152">
        <v>45593</v>
      </c>
      <c r="U1176" s="152">
        <v>45611</v>
      </c>
      <c r="V1176" s="152">
        <v>374329</v>
      </c>
      <c r="W1176" s="2">
        <f>VLOOKUP(Table1[[#This Row],[Status]],Auxiliar!$B$16:$D$24,3,0)*Table1[[#This Row],[Estimação (horas)]]</f>
        <v>1</v>
      </c>
      <c r="X1176" s="114"/>
    </row>
    <row r="1177" spans="2:24" ht="17.7" hidden="1"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1927</v>
      </c>
      <c r="J1177" s="45">
        <f>VLOOKUP(Table1[[#This Row],[Status]],Auxiliar!$B$16:$C$24,2,0)</f>
        <v>2</v>
      </c>
      <c r="K1177" s="45" t="s">
        <v>1253</v>
      </c>
      <c r="L1177" s="46" t="s">
        <v>1258</v>
      </c>
      <c r="M1177" s="21" t="s">
        <v>1259</v>
      </c>
      <c r="N1177" s="48">
        <v>45611</v>
      </c>
      <c r="O1177" s="21">
        <f>INDEX(Auxiliar!$D$5:$F$13,MATCH(Table1[[#This Row],[Tipologia_Testes]],Auxiliar!$B$5:$B$13,0),MATCH(Table1[[#This Row],[Complexidade]],Auxiliar!$D$4:$F$4,0))</f>
        <v>2</v>
      </c>
      <c r="P1177" s="43"/>
      <c r="Q1177" s="152"/>
      <c r="R1177" s="152">
        <v>45593</v>
      </c>
      <c r="S1177" s="152"/>
      <c r="T1177" s="152">
        <v>45593</v>
      </c>
      <c r="U1177" s="152">
        <v>45611</v>
      </c>
      <c r="V1177" s="152">
        <v>374329</v>
      </c>
      <c r="W1177" s="2">
        <f>VLOOKUP(Table1[[#This Row],[Status]],Auxiliar!$B$16:$D$24,3,0)*Table1[[#This Row],[Estimação (horas)]]</f>
        <v>1</v>
      </c>
      <c r="X1177" s="114"/>
    </row>
    <row r="1178" spans="2:24" ht="17.7" hidden="1"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1927</v>
      </c>
      <c r="J1178" s="45">
        <f>VLOOKUP(Table1[[#This Row],[Status]],Auxiliar!$B$16:$C$24,2,0)</f>
        <v>2</v>
      </c>
      <c r="K1178" s="45" t="s">
        <v>1255</v>
      </c>
      <c r="L1178" s="46" t="s">
        <v>1258</v>
      </c>
      <c r="M1178" s="21" t="s">
        <v>1259</v>
      </c>
      <c r="N1178" s="48">
        <v>45611</v>
      </c>
      <c r="O1178" s="21">
        <f>INDEX(Auxiliar!$D$5:$F$13,MATCH(Table1[[#This Row],[Tipologia_Testes]],Auxiliar!$B$5:$B$13,0),MATCH(Table1[[#This Row],[Complexidade]],Auxiliar!$D$4:$F$4,0))</f>
        <v>0.1</v>
      </c>
      <c r="P1178" s="43"/>
      <c r="Q1178" s="152"/>
      <c r="R1178" s="152">
        <v>45593</v>
      </c>
      <c r="S1178" s="152"/>
      <c r="T1178" s="152">
        <v>45593</v>
      </c>
      <c r="U1178" s="152">
        <v>45611</v>
      </c>
      <c r="V1178" s="152">
        <v>374329</v>
      </c>
      <c r="W1178" s="2">
        <f>VLOOKUP(Table1[[#This Row],[Status]],Auxiliar!$B$16:$D$24,3,0)*Table1[[#This Row],[Estimação (horas)]]</f>
        <v>0.05</v>
      </c>
      <c r="X1178" s="114"/>
    </row>
    <row r="1179" spans="2:24" ht="34.950000000000003" hidden="1"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1927</v>
      </c>
      <c r="J1179" s="45">
        <f>VLOOKUP(Table1[[#This Row],[Status]],Auxiliar!$B$16:$C$24,2,0)</f>
        <v>2</v>
      </c>
      <c r="K1179" s="45" t="s">
        <v>1252</v>
      </c>
      <c r="L1179" s="46" t="s">
        <v>1258</v>
      </c>
      <c r="M1179" s="21" t="s">
        <v>1259</v>
      </c>
      <c r="N1179" s="48">
        <v>45611</v>
      </c>
      <c r="O1179" s="21">
        <f>INDEX(Auxiliar!$D$5:$F$13,MATCH(Table1[[#This Row],[Tipologia_Testes]],Auxiliar!$B$5:$B$13,0),MATCH(Table1[[#This Row],[Complexidade]],Auxiliar!$D$4:$F$4,0))</f>
        <v>2</v>
      </c>
      <c r="P1179" s="43"/>
      <c r="Q1179" s="152"/>
      <c r="R1179" s="152">
        <v>45593</v>
      </c>
      <c r="S1179" s="152"/>
      <c r="T1179" s="152">
        <v>45593</v>
      </c>
      <c r="U1179" s="152">
        <v>45611</v>
      </c>
      <c r="V1179" s="152">
        <v>374329</v>
      </c>
      <c r="W1179" s="2">
        <f>VLOOKUP(Table1[[#This Row],[Status]],Auxiliar!$B$16:$D$24,3,0)*Table1[[#This Row],[Estimação (horas)]]</f>
        <v>1</v>
      </c>
      <c r="X1179" s="114"/>
    </row>
    <row r="1180" spans="2:24" ht="17.7" hidden="1"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1927</v>
      </c>
      <c r="J1180" s="45">
        <f>VLOOKUP(Table1[[#This Row],[Status]],Auxiliar!$B$16:$C$24,2,0)</f>
        <v>2</v>
      </c>
      <c r="K1180" s="45" t="s">
        <v>1253</v>
      </c>
      <c r="L1180" s="46" t="s">
        <v>1258</v>
      </c>
      <c r="M1180" s="21" t="s">
        <v>1259</v>
      </c>
      <c r="N1180" s="48">
        <v>45611</v>
      </c>
      <c r="O1180" s="21">
        <f>INDEX(Auxiliar!$D$5:$F$13,MATCH(Table1[[#This Row],[Tipologia_Testes]],Auxiliar!$B$5:$B$13,0),MATCH(Table1[[#This Row],[Complexidade]],Auxiliar!$D$4:$F$4,0))</f>
        <v>2</v>
      </c>
      <c r="P1180" s="43"/>
      <c r="Q1180" s="152"/>
      <c r="R1180" s="152">
        <v>45593</v>
      </c>
      <c r="S1180" s="152"/>
      <c r="T1180" s="152">
        <v>45593</v>
      </c>
      <c r="U1180" s="152">
        <v>45611</v>
      </c>
      <c r="V1180" s="152">
        <v>374329</v>
      </c>
      <c r="W1180" s="2">
        <f>VLOOKUP(Table1[[#This Row],[Status]],Auxiliar!$B$16:$D$24,3,0)*Table1[[#This Row],[Estimação (horas)]]</f>
        <v>1</v>
      </c>
      <c r="X1180" s="114"/>
    </row>
    <row r="1181" spans="2:24" ht="17.7" hidden="1"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1927</v>
      </c>
      <c r="J1181" s="45">
        <f>VLOOKUP(Table1[[#This Row],[Status]],Auxiliar!$B$16:$C$24,2,0)</f>
        <v>2</v>
      </c>
      <c r="K1181" s="45" t="s">
        <v>1255</v>
      </c>
      <c r="L1181" s="46" t="s">
        <v>1258</v>
      </c>
      <c r="M1181" s="21" t="s">
        <v>1259</v>
      </c>
      <c r="N1181" s="48">
        <v>45611</v>
      </c>
      <c r="O1181" s="21">
        <f>INDEX(Auxiliar!$D$5:$F$13,MATCH(Table1[[#This Row],[Tipologia_Testes]],Auxiliar!$B$5:$B$13,0),MATCH(Table1[[#This Row],[Complexidade]],Auxiliar!$D$4:$F$4,0))</f>
        <v>0.1</v>
      </c>
      <c r="P1181" s="43"/>
      <c r="Q1181" s="152"/>
      <c r="R1181" s="152">
        <v>45593</v>
      </c>
      <c r="S1181" s="152"/>
      <c r="T1181" s="152">
        <v>45593</v>
      </c>
      <c r="U1181" s="152">
        <v>45611</v>
      </c>
      <c r="V1181" s="152">
        <v>374329</v>
      </c>
      <c r="W1181" s="2">
        <f>VLOOKUP(Table1[[#This Row],[Status]],Auxiliar!$B$16:$D$24,3,0)*Table1[[#This Row],[Estimação (horas)]]</f>
        <v>0.05</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85">
        <v>0.1</v>
      </c>
      <c r="P1298" s="2" t="s">
        <v>2025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7" operator="containsText" id="{F0FC3167-D078-4732-B252-F6CF35A33118}">
            <xm:f>NOT(ISERROR(SEARCH(Auxiliar!$B$21,I127)))</xm:f>
            <xm:f>Auxiliar!$B$21</xm:f>
            <x14:dxf>
              <font>
                <b/>
                <i val="0"/>
                <color rgb="FFFFC000"/>
              </font>
              <fill>
                <patternFill>
                  <bgColor theme="9" tint="0.59996337778862885"/>
                </patternFill>
              </fill>
            </x14:dxf>
          </x14:cfRule>
          <x14:cfRule type="cellIs" priority="68" operator="equal" id="{0DF84132-7044-4342-A136-5BB25A806900}">
            <xm:f>Auxiliar!$B$24</xm:f>
            <x14:dxf>
              <font>
                <b/>
                <i val="0"/>
                <color theme="1"/>
              </font>
              <fill>
                <patternFill patternType="darkUp">
                  <bgColor theme="0"/>
                </patternFill>
              </fill>
            </x14:dxf>
          </x14:cfRule>
          <x14:cfRule type="cellIs" priority="69" operator="equal" id="{0AA668F3-08F2-48AD-824F-FDAAFE4C3390}">
            <xm:f>Auxiliar!$B$18</xm:f>
            <x14:dxf>
              <font>
                <b/>
                <i val="0"/>
                <color theme="0" tint="-0.499984740745262"/>
              </font>
              <fill>
                <patternFill>
                  <bgColor theme="0" tint="-4.9989318521683403E-2"/>
                </patternFill>
              </fill>
            </x14:dxf>
          </x14:cfRule>
          <x14:cfRule type="containsText" priority="70"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1"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2"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85" operator="containsText" id="{20A563A9-45C9-4AC0-A9D0-E0525C5783FD}">
            <xm:f>NOT(ISERROR(SEARCH(Auxiliar!$B$21,I1014)))</xm:f>
            <xm:f>Auxiliar!$B$21</xm:f>
            <x14:dxf>
              <font>
                <b/>
                <i val="0"/>
                <color rgb="FFFFC000"/>
              </font>
              <fill>
                <patternFill>
                  <bgColor theme="9" tint="0.59996337778862885"/>
                </patternFill>
              </fill>
            </x14:dxf>
          </x14:cfRule>
          <x14:cfRule type="cellIs" priority="86" operator="equal" id="{BD43A748-F00C-4772-938B-9714A9B76740}">
            <xm:f>Auxiliar!$B$24</xm:f>
            <x14:dxf>
              <font>
                <b/>
                <i val="0"/>
                <color theme="1"/>
              </font>
              <fill>
                <patternFill patternType="darkUp">
                  <bgColor theme="0"/>
                </patternFill>
              </fill>
            </x14:dxf>
          </x14:cfRule>
          <x14:cfRule type="cellIs" priority="87" operator="equal" id="{E6B33A13-E435-4B24-A09D-50CAD4AA2060}">
            <xm:f>Auxiliar!$B$18</xm:f>
            <x14:dxf>
              <font>
                <b/>
                <i val="0"/>
                <color theme="0" tint="-0.499984740745262"/>
              </font>
              <fill>
                <patternFill>
                  <bgColor theme="0" tint="-4.9989318521683403E-2"/>
                </patternFill>
              </fill>
            </x14:dxf>
          </x14:cfRule>
          <x14:cfRule type="containsText" priority="88"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89"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90" operator="containsText" id="{931B9BB8-74CD-4772-A6CC-E8DA1A3A130B}">
            <xm:f>NOT(ISERROR(SEARCH(Auxiliar!$B$16,I1014)))</xm:f>
            <xm:f>Auxiliar!$B$16</xm:f>
            <x14:dxf>
              <font>
                <b/>
                <i val="0"/>
                <color theme="7"/>
              </font>
              <fill>
                <patternFill>
                  <bgColor theme="7" tint="0.79998168889431442"/>
                </patternFill>
              </fill>
            </x14:dxf>
          </x14:cfRule>
          <xm:sqref>I1014:I1061</xm:sqref>
        </x14:conditionalFormatting>
        <x14:conditionalFormatting xmlns:xm="http://schemas.microsoft.com/office/excel/2006/main">
          <x14:cfRule type="containsText" priority="517" operator="containsText" id="{6D31A4AC-B122-497F-9FC6-CE817FED866F}">
            <xm:f>NOT(ISERROR(SEARCH(Auxiliar!$B$21,I1230)))</xm:f>
            <xm:f>Auxiliar!$B$21</xm:f>
            <x14:dxf>
              <font>
                <b/>
                <i val="0"/>
                <color rgb="FFFFC000"/>
              </font>
              <fill>
                <patternFill>
                  <bgColor theme="9" tint="0.59996337778862885"/>
                </patternFill>
              </fill>
            </x14:dxf>
          </x14:cfRule>
          <x14:cfRule type="cellIs" priority="518" operator="equal" id="{BC24EA63-FCB7-41C8-8459-50E6363DD3DC}">
            <xm:f>Auxiliar!$B$24</xm:f>
            <x14:dxf>
              <font>
                <b/>
                <i val="0"/>
                <color theme="1"/>
              </font>
              <fill>
                <patternFill patternType="darkUp">
                  <bgColor theme="0"/>
                </patternFill>
              </fill>
            </x14:dxf>
          </x14:cfRule>
          <x14:cfRule type="cellIs" priority="519" operator="equal" id="{EF3405F2-F06B-40CA-90B2-7832EB88D81D}">
            <xm:f>Auxiliar!$B$18</xm:f>
            <x14:dxf>
              <font>
                <b/>
                <i val="0"/>
                <color theme="0" tint="-0.499984740745262"/>
              </font>
              <fill>
                <patternFill>
                  <bgColor theme="0" tint="-4.9989318521683403E-2"/>
                </patternFill>
              </fill>
            </x14:dxf>
          </x14:cfRule>
          <x14:cfRule type="containsText" priority="520" operator="containsText" id="{25182203-BC56-4A16-A152-9097D6F1DCBD}">
            <xm:f>NOT(ISERROR(SEARCH(Auxiliar!$B$22,I1230)))</xm:f>
            <xm:f>Auxiliar!$B$22</xm:f>
            <x14:dxf>
              <font>
                <b/>
                <i val="0"/>
                <color rgb="FFC00000"/>
              </font>
              <fill>
                <patternFill>
                  <bgColor theme="4" tint="0.79998168889431442"/>
                </patternFill>
              </fill>
            </x14:dxf>
          </x14:cfRule>
          <x14:cfRule type="containsText" priority="521" operator="containsText" id="{DD6D4548-7329-462F-9809-88230D51C569}">
            <xm:f>NOT(ISERROR(SEARCH(Auxiliar!$B$19,I1230)))</xm:f>
            <xm:f>Auxiliar!$B$19</xm:f>
            <x14:dxf>
              <font>
                <b/>
                <i val="0"/>
                <color theme="9" tint="-0.499984740745262"/>
              </font>
              <fill>
                <patternFill>
                  <bgColor theme="9" tint="0.79998168889431442"/>
                </patternFill>
              </fill>
            </x14:dxf>
          </x14:cfRule>
          <x14:cfRule type="containsText" priority="522" operator="containsText" id="{990409B1-4723-4D67-8032-B75493DAE185}">
            <xm:f>NOT(ISERROR(SEARCH(Auxiliar!$B$16,I1230)))</xm:f>
            <xm:f>Auxiliar!$B$16</xm:f>
            <x14:dxf>
              <font>
                <b/>
                <i val="0"/>
                <color theme="7"/>
              </font>
              <fill>
                <patternFill>
                  <bgColor theme="7" tint="0.79998168889431442"/>
                </patternFill>
              </fill>
            </x14:dxf>
          </x14:cfRule>
          <xm:sqref>I1230:I1256</xm:sqref>
        </x14:conditionalFormatting>
        <x14:conditionalFormatting xmlns:xm="http://schemas.microsoft.com/office/excel/2006/main">
          <x14:cfRule type="containsText" priority="457" operator="containsText" id="{EA64DC1C-861B-48F8-9621-E598024B99B0}">
            <xm:f>NOT(ISERROR(SEARCH(Auxiliar!$B$21,I1294)))</xm:f>
            <xm:f>Auxiliar!$B$21</xm:f>
            <x14:dxf>
              <font>
                <b/>
                <i val="0"/>
                <color rgb="FFFFC000"/>
              </font>
              <fill>
                <patternFill>
                  <bgColor theme="9" tint="0.59996337778862885"/>
                </patternFill>
              </fill>
            </x14:dxf>
          </x14:cfRule>
          <x14:cfRule type="cellIs" priority="458" operator="equal" id="{839A85C4-8947-4392-8D52-FE7821AB5714}">
            <xm:f>Auxiliar!$B$24</xm:f>
            <x14:dxf>
              <font>
                <b/>
                <i val="0"/>
                <color theme="1"/>
              </font>
              <fill>
                <patternFill patternType="darkUp">
                  <bgColor theme="0"/>
                </patternFill>
              </fill>
            </x14:dxf>
          </x14:cfRule>
          <x14:cfRule type="cellIs" priority="459" operator="equal" id="{AFCEA854-203F-4E0E-9E0B-A825AA0A5D6E}">
            <xm:f>Auxiliar!$B$18</xm:f>
            <x14:dxf>
              <font>
                <b/>
                <i val="0"/>
                <color theme="0" tint="-0.499984740745262"/>
              </font>
              <fill>
                <patternFill>
                  <bgColor theme="0" tint="-4.9989318521683403E-2"/>
                </patternFill>
              </fill>
            </x14:dxf>
          </x14:cfRule>
          <x14:cfRule type="containsText" priority="460"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1"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2"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1" operator="containsText" id="{22EE3303-E871-4FDC-B876-3AC40B4BB29E}">
            <xm:f>NOT(ISERROR(SEARCH(Auxiliar!$B$21,I9)))</xm:f>
            <xm:f>Auxiliar!$B$21</xm:f>
            <x14:dxf>
              <font>
                <b/>
                <i val="0"/>
                <color rgb="FFFFC000"/>
              </font>
              <fill>
                <patternFill>
                  <bgColor theme="9" tint="0.59996337778862885"/>
                </patternFill>
              </fill>
            </x14:dxf>
          </x14:cfRule>
          <x14:cfRule type="cellIs" priority="452" operator="equal" id="{A75C795E-F66D-4DC2-A9AF-15BDCED7DA25}">
            <xm:f>Auxiliar!$B$24</xm:f>
            <x14:dxf>
              <font>
                <b/>
                <i val="0"/>
                <color theme="1"/>
              </font>
              <fill>
                <patternFill patternType="darkUp">
                  <bgColor theme="0"/>
                </patternFill>
              </fill>
            </x14:dxf>
          </x14:cfRule>
          <x14:cfRule type="cellIs" priority="453" operator="equal" id="{68C7A1CE-73C7-4D91-A2AC-1493C4E277DD}">
            <xm:f>Auxiliar!$B$18</xm:f>
            <x14:dxf>
              <font>
                <b/>
                <i val="0"/>
                <color theme="0" tint="-0.499984740745262"/>
              </font>
              <fill>
                <patternFill>
                  <bgColor theme="0" tint="-4.9989318521683403E-2"/>
                </patternFill>
              </fill>
            </x14:dxf>
          </x14:cfRule>
          <x14:cfRule type="containsText" priority="45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5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56"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35" operator="containsText" id="{6928D489-0130-4A60-BE2B-1D9108B02454}">
            <xm:f>NOT(ISERROR(SEARCH(Auxiliar!$B$21,I130)))</xm:f>
            <xm:f>Auxiliar!$B$21</xm:f>
            <x14:dxf>
              <font>
                <b/>
                <i val="0"/>
                <color rgb="FFFFC000"/>
              </font>
              <fill>
                <patternFill>
                  <bgColor theme="9" tint="0.59996337778862885"/>
                </patternFill>
              </fill>
            </x14:dxf>
          </x14:cfRule>
          <x14:cfRule type="cellIs" priority="536" operator="equal" id="{E2F14AF0-878C-4184-86EE-1EC72D11FF82}">
            <xm:f>Auxiliar!$B$24</xm:f>
            <x14:dxf>
              <font>
                <b/>
                <i val="0"/>
                <color theme="1"/>
              </font>
              <fill>
                <patternFill patternType="darkUp">
                  <bgColor theme="0"/>
                </patternFill>
              </fill>
            </x14:dxf>
          </x14:cfRule>
          <x14:cfRule type="cellIs" priority="537" operator="equal" id="{662C2D77-73A6-422E-B043-D39190EAAFD3}">
            <xm:f>Auxiliar!$B$18</xm:f>
            <x14:dxf>
              <font>
                <b/>
                <i val="0"/>
                <color theme="0" tint="-0.499984740745262"/>
              </font>
              <fill>
                <patternFill>
                  <bgColor theme="0" tint="-4.9989318521683403E-2"/>
                </patternFill>
              </fill>
            </x14:dxf>
          </x14:cfRule>
          <x14:cfRule type="containsText" priority="538"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39"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0" operator="containsText" id="{E1F4ABAD-4246-42AD-B2CD-8E341D15C381}">
            <xm:f>NOT(ISERROR(SEARCH(Auxiliar!$B$16,I130)))</xm:f>
            <xm:f>Auxiliar!$B$16</xm:f>
            <x14:dxf>
              <font>
                <b/>
                <i val="0"/>
                <color theme="7"/>
              </font>
              <fill>
                <patternFill>
                  <bgColor theme="7" tint="0.79998168889431442"/>
                </patternFill>
              </fill>
            </x14:dxf>
          </x14:cfRule>
          <xm:sqref>I1170:I1172 I1080:I1082 I1113:I1145 I1101:I1109 I1086:I1091 I130:J325</xm:sqref>
        </x14:conditionalFormatting>
        <x14:conditionalFormatting xmlns:xm="http://schemas.microsoft.com/office/excel/2006/main">
          <x14:cfRule type="containsText" priority="601" operator="containsText" id="{A0E353A4-BC40-460B-BB47-B57EC0BDDA87}">
            <xm:f>NOT(ISERROR(SEARCH(Auxiliar!$B$21,I347)))</xm:f>
            <xm:f>Auxiliar!$B$21</xm:f>
            <x14:dxf>
              <font>
                <b/>
                <i val="0"/>
                <color rgb="FFFFC000"/>
              </font>
              <fill>
                <patternFill>
                  <bgColor theme="9" tint="0.59996337778862885"/>
                </patternFill>
              </fill>
            </x14:dxf>
          </x14:cfRule>
          <x14:cfRule type="cellIs" priority="602" operator="equal" id="{461BEC2A-3AB6-4974-9160-0CC657CD83C0}">
            <xm:f>Auxiliar!$B$24</xm:f>
            <x14:dxf>
              <font>
                <b/>
                <i val="0"/>
                <color theme="1"/>
              </font>
              <fill>
                <patternFill patternType="darkUp">
                  <bgColor theme="0"/>
                </patternFill>
              </fill>
            </x14:dxf>
          </x14:cfRule>
          <x14:cfRule type="cellIs" priority="1069" operator="equal" id="{5CC18A3F-CC0C-4983-A19C-E91C49A3DB8A}">
            <xm:f>Auxiliar!$B$18</xm:f>
            <x14:dxf>
              <font>
                <b/>
                <i val="0"/>
                <color theme="0" tint="-0.499984740745262"/>
              </font>
              <fill>
                <patternFill>
                  <bgColor theme="0" tint="-4.9989318521683403E-2"/>
                </patternFill>
              </fill>
            </x14:dxf>
          </x14:cfRule>
          <x14:cfRule type="containsText" priority="1070"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1"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2" operator="containsText" id="{E24FE097-F3CC-4A48-80A2-F7619DECA0EF}">
            <xm:f>NOT(ISERROR(SEARCH(Auxiliar!$B$16,I347)))</xm:f>
            <xm:f>Auxiliar!$B$16</xm:f>
            <x14:dxf>
              <font>
                <b/>
                <i val="0"/>
                <color theme="7"/>
              </font>
              <fill>
                <patternFill>
                  <bgColor theme="7" tint="0.79998168889431442"/>
                </patternFill>
              </fill>
            </x14:dxf>
          </x14:cfRule>
          <xm:sqref>I1074:J1079 J1080:J1145 J1170:J1172 J1294:J1300 I1301:J1320 J1186:J1256 I1146:J1169 I1173:J1185 I1257:J1293 J1014:J1073 I347:J1013</xm:sqref>
        </x14:conditionalFormatting>
        <x14:conditionalFormatting xmlns:xm="http://schemas.microsoft.com/office/excel/2006/main">
          <x14:cfRule type="containsText" priority="427" operator="containsText" id="{B9BA2292-98F1-4845-8262-A781D9352444}">
            <xm:f>NOT(ISERROR(SEARCH(Auxiliar!$B$21,J127)))</xm:f>
            <xm:f>Auxiliar!$B$21</xm:f>
            <x14:dxf>
              <font>
                <b/>
                <i val="0"/>
                <color rgb="FFFFC000"/>
              </font>
              <fill>
                <patternFill>
                  <bgColor theme="9" tint="0.59996337778862885"/>
                </patternFill>
              </fill>
            </x14:dxf>
          </x14:cfRule>
          <x14:cfRule type="cellIs" priority="428" operator="equal" id="{D32B9961-C82B-426A-A975-2475FFC80C76}">
            <xm:f>Auxiliar!$B$24</xm:f>
            <x14:dxf>
              <font>
                <b/>
                <i val="0"/>
                <color theme="1"/>
              </font>
              <fill>
                <patternFill patternType="darkUp">
                  <bgColor theme="0"/>
                </patternFill>
              </fill>
            </x14:dxf>
          </x14:cfRule>
          <x14:cfRule type="cellIs" priority="429" operator="equal" id="{EE9F5D7D-A515-4B4F-859E-E804329C9CE0}">
            <xm:f>Auxiliar!$B$18</xm:f>
            <x14:dxf>
              <font>
                <b/>
                <i val="0"/>
                <color theme="0" tint="-0.499984740745262"/>
              </font>
              <fill>
                <patternFill>
                  <bgColor theme="0" tint="-4.9989318521683403E-2"/>
                </patternFill>
              </fill>
            </x14:dxf>
          </x14:cfRule>
          <x14:cfRule type="containsText" priority="430"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1"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2"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3" operator="containsText" id="{576165AC-18FE-49D8-90D0-249BF5B7AAD2}">
            <xm:f>NOT(ISERROR(SEARCH(Auxiliar!$B$21,J326)))</xm:f>
            <xm:f>Auxiliar!$B$21</xm:f>
            <x14:dxf>
              <font>
                <b/>
                <i val="0"/>
                <color rgb="FFFFC000"/>
              </font>
              <fill>
                <patternFill>
                  <bgColor theme="9" tint="0.59996337778862885"/>
                </patternFill>
              </fill>
            </x14:dxf>
          </x14:cfRule>
          <x14:cfRule type="cellIs" priority="554" operator="equal" id="{2BEF1854-999B-428C-B198-117A6D75B6CF}">
            <xm:f>Auxiliar!$B$24</xm:f>
            <x14:dxf>
              <font>
                <b/>
                <i val="0"/>
                <color theme="1"/>
              </font>
              <fill>
                <patternFill patternType="darkUp">
                  <bgColor theme="0"/>
                </patternFill>
              </fill>
            </x14:dxf>
          </x14:cfRule>
          <x14:cfRule type="cellIs" priority="555" operator="equal" id="{82150E9C-7DB3-4C92-B25A-09099C09088C}">
            <xm:f>Auxiliar!$B$18</xm:f>
            <x14:dxf>
              <font>
                <b/>
                <i val="0"/>
                <color theme="0" tint="-0.499984740745262"/>
              </font>
              <fill>
                <patternFill>
                  <bgColor theme="0" tint="-4.9989318521683403E-2"/>
                </patternFill>
              </fill>
            </x14:dxf>
          </x14:cfRule>
          <x14:cfRule type="containsText" priority="556"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57"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58"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43" operator="containsText" id="{818B4E3F-A611-4A6A-A815-B804D1E3C747}">
            <xm:f>NOT(ISERROR(SEARCH(Auxiliar!$B$21,I1186)))</xm:f>
            <xm:f>Auxiliar!$B$21</xm:f>
            <x14:dxf>
              <font>
                <b/>
                <i val="0"/>
                <color rgb="FFFFC000"/>
              </font>
              <fill>
                <patternFill>
                  <bgColor theme="9" tint="0.59996337778862885"/>
                </patternFill>
              </fill>
            </x14:dxf>
          </x14:cfRule>
          <x14:cfRule type="cellIs" priority="44" operator="equal" id="{49F42230-2FF0-42CE-B047-38469DF4FF91}">
            <xm:f>Auxiliar!$B$24</xm:f>
            <x14:dxf>
              <font>
                <b/>
                <i val="0"/>
                <color theme="1"/>
              </font>
              <fill>
                <patternFill patternType="darkUp">
                  <bgColor theme="0"/>
                </patternFill>
              </fill>
            </x14:dxf>
          </x14:cfRule>
          <x14:cfRule type="cellIs" priority="45" operator="equal" id="{340814F4-4DC4-4851-925E-2EA110D79ECA}">
            <xm:f>Auxiliar!$B$18</xm:f>
            <x14:dxf>
              <font>
                <b/>
                <i val="0"/>
                <color theme="0" tint="-0.499984740745262"/>
              </font>
              <fill>
                <patternFill>
                  <bgColor theme="0" tint="-4.9989318521683403E-2"/>
                </patternFill>
              </fill>
            </x14:dxf>
          </x14:cfRule>
          <x14:cfRule type="containsText" priority="46"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47"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48" operator="containsText" id="{CD308544-9CE6-4FAC-9303-AD8028CE88C4}">
            <xm:f>NOT(ISERROR(SEARCH(Auxiliar!$B$16,I1186)))</xm:f>
            <xm:f>Auxiliar!$B$16</xm:f>
            <x14:dxf>
              <font>
                <b/>
                <i val="0"/>
                <color theme="7"/>
              </font>
              <fill>
                <patternFill>
                  <bgColor theme="7" tint="0.79998168889431442"/>
                </patternFill>
              </fill>
            </x14:dxf>
          </x14:cfRule>
          <xm:sqref>I1186:I1229</xm:sqref>
        </x14:conditionalFormatting>
        <x14:conditionalFormatting xmlns:xm="http://schemas.microsoft.com/office/excel/2006/main">
          <x14:cfRule type="containsText" priority="37" operator="containsText" id="{4050B6DB-E24B-44F2-A6B9-2EBA2B7CE168}">
            <xm:f>NOT(ISERROR(SEARCH(Auxiliar!$B$21,I1110)))</xm:f>
            <xm:f>Auxiliar!$B$21</xm:f>
            <x14:dxf>
              <font>
                <b/>
                <i val="0"/>
                <color rgb="FFFFC000"/>
              </font>
              <fill>
                <patternFill>
                  <bgColor theme="9" tint="0.59996337778862885"/>
                </patternFill>
              </fill>
            </x14:dxf>
          </x14:cfRule>
          <x14:cfRule type="cellIs" priority="38" operator="equal" id="{479C1ED8-365E-4E27-97C1-8D11F120289B}">
            <xm:f>Auxiliar!$B$24</xm:f>
            <x14:dxf>
              <font>
                <b/>
                <i val="0"/>
                <color theme="1"/>
              </font>
              <fill>
                <patternFill patternType="darkUp">
                  <bgColor theme="0"/>
                </patternFill>
              </fill>
            </x14:dxf>
          </x14:cfRule>
          <x14:cfRule type="cellIs" priority="39" operator="equal" id="{B2CB7F2D-6487-4D0F-92CF-CBA0F11E404E}">
            <xm:f>Auxiliar!$B$18</xm:f>
            <x14:dxf>
              <font>
                <b/>
                <i val="0"/>
                <color theme="0" tint="-0.499984740745262"/>
              </font>
              <fill>
                <patternFill>
                  <bgColor theme="0" tint="-4.9989318521683403E-2"/>
                </patternFill>
              </fill>
            </x14:dxf>
          </x14:cfRule>
          <x14:cfRule type="containsText" priority="40" operator="containsText" id="{7E3AE838-E7A3-4222-83E9-EBDC1AE43DAD}">
            <xm:f>NOT(ISERROR(SEARCH(Auxiliar!$B$22,I1110)))</xm:f>
            <xm:f>Auxiliar!$B$22</xm:f>
            <x14:dxf>
              <font>
                <b/>
                <i val="0"/>
                <color rgb="FFC00000"/>
              </font>
              <fill>
                <patternFill>
                  <bgColor theme="4" tint="0.79998168889431442"/>
                </patternFill>
              </fill>
            </x14:dxf>
          </x14:cfRule>
          <x14:cfRule type="containsText" priority="41" operator="containsText" id="{23AC038A-ED20-4E26-ACFB-72709540727C}">
            <xm:f>NOT(ISERROR(SEARCH(Auxiliar!$B$19,I1110)))</xm:f>
            <xm:f>Auxiliar!$B$19</xm:f>
            <x14:dxf>
              <font>
                <b/>
                <i val="0"/>
                <color theme="9" tint="-0.499984740745262"/>
              </font>
              <fill>
                <patternFill>
                  <bgColor theme="9" tint="0.79998168889431442"/>
                </patternFill>
              </fill>
            </x14:dxf>
          </x14:cfRule>
          <x14:cfRule type="containsText" priority="42" operator="containsText" id="{FBD1295B-BCDC-4971-A2BF-FD030DCF04F7}">
            <xm:f>NOT(ISERROR(SEARCH(Auxiliar!$B$16,I1110)))</xm:f>
            <xm:f>Auxiliar!$B$16</xm:f>
            <x14:dxf>
              <font>
                <b/>
                <i val="0"/>
                <color theme="7"/>
              </font>
              <fill>
                <patternFill>
                  <bgColor theme="7" tint="0.79998168889431442"/>
                </patternFill>
              </fill>
            </x14:dxf>
          </x14:cfRule>
          <xm:sqref>I1110:I1112</xm:sqref>
        </x14:conditionalFormatting>
        <x14:conditionalFormatting xmlns:xm="http://schemas.microsoft.com/office/excel/2006/main">
          <x14:cfRule type="containsText" priority="31" operator="containsText" id="{A372B43B-3829-4CA2-8434-9A83110B1AB5}">
            <xm:f>NOT(ISERROR(SEARCH(Auxiliar!$B$21,I1083)))</xm:f>
            <xm:f>Auxiliar!$B$21</xm:f>
            <x14:dxf>
              <font>
                <b/>
                <i val="0"/>
                <color rgb="FFFFC000"/>
              </font>
              <fill>
                <patternFill>
                  <bgColor theme="9" tint="0.59996337778862885"/>
                </patternFill>
              </fill>
            </x14:dxf>
          </x14:cfRule>
          <x14:cfRule type="cellIs" priority="32" operator="equal" id="{3CDC22E5-58E4-420B-906E-A926AFB1C7F7}">
            <xm:f>Auxiliar!$B$24</xm:f>
            <x14:dxf>
              <font>
                <b/>
                <i val="0"/>
                <color theme="1"/>
              </font>
              <fill>
                <patternFill patternType="darkUp">
                  <bgColor theme="0"/>
                </patternFill>
              </fill>
            </x14:dxf>
          </x14:cfRule>
          <x14:cfRule type="cellIs" priority="33" operator="equal" id="{B780C97F-524E-4EED-A864-DE86083AF6D2}">
            <xm:f>Auxiliar!$B$18</xm:f>
            <x14:dxf>
              <font>
                <b/>
                <i val="0"/>
                <color theme="0" tint="-0.499984740745262"/>
              </font>
              <fill>
                <patternFill>
                  <bgColor theme="0" tint="-4.9989318521683403E-2"/>
                </patternFill>
              </fill>
            </x14:dxf>
          </x14:cfRule>
          <x14:cfRule type="containsText" priority="34" operator="containsText" id="{AB2AF0AC-EAA7-4F5D-AA6E-8B42FAA73C6B}">
            <xm:f>NOT(ISERROR(SEARCH(Auxiliar!$B$22,I1083)))</xm:f>
            <xm:f>Auxiliar!$B$22</xm:f>
            <x14:dxf>
              <font>
                <b/>
                <i val="0"/>
                <color rgb="FFC00000"/>
              </font>
              <fill>
                <patternFill>
                  <bgColor theme="4" tint="0.79998168889431442"/>
                </patternFill>
              </fill>
            </x14:dxf>
          </x14:cfRule>
          <x14:cfRule type="containsText" priority="35" operator="containsText" id="{4D50612D-35A6-4FBC-B9DA-7F9251275C08}">
            <xm:f>NOT(ISERROR(SEARCH(Auxiliar!$B$19,I1083)))</xm:f>
            <xm:f>Auxiliar!$B$19</xm:f>
            <x14:dxf>
              <font>
                <b/>
                <i val="0"/>
                <color theme="9" tint="-0.499984740745262"/>
              </font>
              <fill>
                <patternFill>
                  <bgColor theme="9" tint="0.79998168889431442"/>
                </patternFill>
              </fill>
            </x14:dxf>
          </x14:cfRule>
          <x14:cfRule type="containsText" priority="36" operator="containsText" id="{25825142-4CB5-4733-9364-4C86DB42160A}">
            <xm:f>NOT(ISERROR(SEARCH(Auxiliar!$B$16,I1083)))</xm:f>
            <xm:f>Auxiliar!$B$16</xm:f>
            <x14:dxf>
              <font>
                <b/>
                <i val="0"/>
                <color theme="7"/>
              </font>
              <fill>
                <patternFill>
                  <bgColor theme="7" tint="0.79998168889431442"/>
                </patternFill>
              </fill>
            </x14:dxf>
          </x14:cfRule>
          <xm:sqref>I1092:I1097 I1083:I1085</xm:sqref>
        </x14:conditionalFormatting>
        <x14:conditionalFormatting xmlns:xm="http://schemas.microsoft.com/office/excel/2006/main">
          <x14:cfRule type="containsText" priority="25" operator="containsText" id="{1D83B866-8DFB-450A-BFBC-E85879C9253E}">
            <xm:f>NOT(ISERROR(SEARCH(Auxiliar!$B$21,I326)))</xm:f>
            <xm:f>Auxiliar!$B$21</xm:f>
            <x14:dxf>
              <font>
                <b/>
                <i val="0"/>
                <color rgb="FFFFC000"/>
              </font>
              <fill>
                <patternFill>
                  <bgColor theme="9" tint="0.59996337778862885"/>
                </patternFill>
              </fill>
            </x14:dxf>
          </x14:cfRule>
          <x14:cfRule type="cellIs" priority="26" operator="equal" id="{356F31D5-23E1-4B48-9BDD-F757BA374EEE}">
            <xm:f>Auxiliar!$B$24</xm:f>
            <x14:dxf>
              <font>
                <b/>
                <i val="0"/>
                <color theme="1"/>
              </font>
              <fill>
                <patternFill patternType="darkUp">
                  <bgColor theme="0"/>
                </patternFill>
              </fill>
            </x14:dxf>
          </x14:cfRule>
          <x14:cfRule type="cellIs" priority="27" operator="equal" id="{C66DB5AA-50E6-4A95-8ACD-2CCCD804D521}">
            <xm:f>Auxiliar!$B$18</xm:f>
            <x14:dxf>
              <font>
                <b/>
                <i val="0"/>
                <color theme="0" tint="-0.499984740745262"/>
              </font>
              <fill>
                <patternFill>
                  <bgColor theme="0" tint="-4.9989318521683403E-2"/>
                </patternFill>
              </fill>
            </x14:dxf>
          </x14:cfRule>
          <x14:cfRule type="containsText" priority="28"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29"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0"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740F90F7-AB92-479A-85BF-13BAB76C3411}">
            <xm:f>NOT(ISERROR(SEARCH(Auxiliar!$B$21,I1062)))</xm:f>
            <xm:f>Auxiliar!$B$21</xm:f>
            <x14:dxf>
              <font>
                <b/>
                <i val="0"/>
                <color rgb="FFFFC000"/>
              </font>
              <fill>
                <patternFill>
                  <bgColor theme="9" tint="0.59996337778862885"/>
                </patternFill>
              </fill>
            </x14:dxf>
          </x14:cfRule>
          <x14:cfRule type="cellIs" priority="20" operator="equal" id="{88AE8B12-357A-4B8A-9319-781057D8ABD6}">
            <xm:f>Auxiliar!$B$24</xm:f>
            <x14:dxf>
              <font>
                <b/>
                <i val="0"/>
                <color theme="1"/>
              </font>
              <fill>
                <patternFill patternType="darkUp">
                  <bgColor theme="0"/>
                </patternFill>
              </fill>
            </x14:dxf>
          </x14:cfRule>
          <x14:cfRule type="cellIs" priority="21" operator="equal" id="{BC303029-A698-4297-8685-4F827375138C}">
            <xm:f>Auxiliar!$B$18</xm:f>
            <x14:dxf>
              <font>
                <b/>
                <i val="0"/>
                <color theme="0" tint="-0.499984740745262"/>
              </font>
              <fill>
                <patternFill>
                  <bgColor theme="0" tint="-4.9989318521683403E-2"/>
                </patternFill>
              </fill>
            </x14:dxf>
          </x14:cfRule>
          <x14:cfRule type="containsText" priority="22" operator="containsText" id="{2BADB501-C230-4648-AC9D-1AC0A7F13148}">
            <xm:f>NOT(ISERROR(SEARCH(Auxiliar!$B$22,I1062)))</xm:f>
            <xm:f>Auxiliar!$B$22</xm:f>
            <x14:dxf>
              <font>
                <b/>
                <i val="0"/>
                <color rgb="FFC00000"/>
              </font>
              <fill>
                <patternFill>
                  <bgColor theme="4" tint="0.79998168889431442"/>
                </patternFill>
              </fill>
            </x14:dxf>
          </x14:cfRule>
          <x14:cfRule type="containsText" priority="23" operator="containsText" id="{AE4522B3-BC49-4A22-8071-DE4E78DD10CF}">
            <xm:f>NOT(ISERROR(SEARCH(Auxiliar!$B$19,I1062)))</xm:f>
            <xm:f>Auxiliar!$B$19</xm:f>
            <x14:dxf>
              <font>
                <b/>
                <i val="0"/>
                <color theme="9" tint="-0.499984740745262"/>
              </font>
              <fill>
                <patternFill>
                  <bgColor theme="9" tint="0.79998168889431442"/>
                </patternFill>
              </fill>
            </x14:dxf>
          </x14:cfRule>
          <x14:cfRule type="containsText" priority="24" operator="containsText" id="{67559983-07F8-49CE-B5B7-452567C44002}">
            <xm:f>NOT(ISERROR(SEARCH(Auxiliar!$B$16,I1062)))</xm:f>
            <xm:f>Auxiliar!$B$16</xm:f>
            <x14:dxf>
              <font>
                <b/>
                <i val="0"/>
                <color theme="7"/>
              </font>
              <fill>
                <patternFill>
                  <bgColor theme="7" tint="0.79998168889431442"/>
                </patternFill>
              </fill>
            </x14:dxf>
          </x14:cfRule>
          <xm:sqref>I1062:I1073</xm:sqref>
        </x14:conditionalFormatting>
        <x14:conditionalFormatting xmlns:xm="http://schemas.microsoft.com/office/excel/2006/main">
          <x14:cfRule type="containsText" priority="13" operator="containsText" id="{319A87B7-AF44-4B6B-AD5C-1435B7973651}">
            <xm:f>NOT(ISERROR(SEARCH(Auxiliar!$B$21,I1098)))</xm:f>
            <xm:f>Auxiliar!$B$21</xm:f>
            <x14:dxf>
              <font>
                <b/>
                <i val="0"/>
                <color rgb="FFFFC000"/>
              </font>
              <fill>
                <patternFill>
                  <bgColor theme="9" tint="0.59996337778862885"/>
                </patternFill>
              </fill>
            </x14:dxf>
          </x14:cfRule>
          <x14:cfRule type="cellIs" priority="14" operator="equal" id="{5487EB08-2530-400B-B433-31899D15159F}">
            <xm:f>Auxiliar!$B$24</xm:f>
            <x14:dxf>
              <font>
                <b/>
                <i val="0"/>
                <color theme="1"/>
              </font>
              <fill>
                <patternFill patternType="darkUp">
                  <bgColor theme="0"/>
                </patternFill>
              </fill>
            </x14:dxf>
          </x14:cfRule>
          <x14:cfRule type="cellIs" priority="15" operator="equal" id="{004B0B24-FDC1-4B8F-9342-C579AA1E6434}">
            <xm:f>Auxiliar!$B$18</xm:f>
            <x14:dxf>
              <font>
                <b/>
                <i val="0"/>
                <color theme="0" tint="-0.499984740745262"/>
              </font>
              <fill>
                <patternFill>
                  <bgColor theme="0" tint="-4.9989318521683403E-2"/>
                </patternFill>
              </fill>
            </x14:dxf>
          </x14:cfRule>
          <x14:cfRule type="containsText" priority="16" operator="containsText" id="{31DE4FD3-7945-4EBB-9B5A-DA7AA616891B}">
            <xm:f>NOT(ISERROR(SEARCH(Auxiliar!$B$22,I1098)))</xm:f>
            <xm:f>Auxiliar!$B$22</xm:f>
            <x14:dxf>
              <font>
                <b/>
                <i val="0"/>
                <color rgb="FFC00000"/>
              </font>
              <fill>
                <patternFill>
                  <bgColor theme="4" tint="0.79998168889431442"/>
                </patternFill>
              </fill>
            </x14:dxf>
          </x14:cfRule>
          <x14:cfRule type="containsText" priority="17" operator="containsText" id="{39EE209B-2068-4467-9BD7-806774A20035}">
            <xm:f>NOT(ISERROR(SEARCH(Auxiliar!$B$19,I1098)))</xm:f>
            <xm:f>Auxiliar!$B$19</xm:f>
            <x14:dxf>
              <font>
                <b/>
                <i val="0"/>
                <color theme="9" tint="-0.499984740745262"/>
              </font>
              <fill>
                <patternFill>
                  <bgColor theme="9" tint="0.79998168889431442"/>
                </patternFill>
              </fill>
            </x14:dxf>
          </x14:cfRule>
          <x14:cfRule type="containsText" priority="18" operator="containsText" id="{9EB995BC-14A2-4A1D-9D21-2D48D683E2D6}">
            <xm:f>NOT(ISERROR(SEARCH(Auxiliar!$B$16,I1098)))</xm:f>
            <xm:f>Auxiliar!$B$16</xm:f>
            <x14:dxf>
              <font>
                <b/>
                <i val="0"/>
                <color theme="7"/>
              </font>
              <fill>
                <patternFill>
                  <bgColor theme="7" tint="0.79998168889431442"/>
                </patternFill>
              </fill>
            </x14:dxf>
          </x14:cfRule>
          <xm:sqref>I1098</xm:sqref>
        </x14:conditionalFormatting>
        <x14:conditionalFormatting xmlns:xm="http://schemas.microsoft.com/office/excel/2006/main">
          <x14:cfRule type="containsText" priority="7" operator="containsText" id="{F611C4E1-77AB-465E-8B26-73D8B7126638}">
            <xm:f>NOT(ISERROR(SEARCH(Auxiliar!$B$21,I1099)))</xm:f>
            <xm:f>Auxiliar!$B$21</xm:f>
            <x14:dxf>
              <font>
                <b/>
                <i val="0"/>
                <color rgb="FFFFC000"/>
              </font>
              <fill>
                <patternFill>
                  <bgColor theme="9" tint="0.59996337778862885"/>
                </patternFill>
              </fill>
            </x14:dxf>
          </x14:cfRule>
          <x14:cfRule type="cellIs" priority="8" operator="equal" id="{2F5D51C0-61DB-42CF-BA3E-C000F9E44B3D}">
            <xm:f>Auxiliar!$B$24</xm:f>
            <x14:dxf>
              <font>
                <b/>
                <i val="0"/>
                <color theme="1"/>
              </font>
              <fill>
                <patternFill patternType="darkUp">
                  <bgColor theme="0"/>
                </patternFill>
              </fill>
            </x14:dxf>
          </x14:cfRule>
          <x14:cfRule type="cellIs" priority="9" operator="equal" id="{1DD9BB00-21E3-4522-83CB-9F48CFF0A360}">
            <xm:f>Auxiliar!$B$18</xm:f>
            <x14:dxf>
              <font>
                <b/>
                <i val="0"/>
                <color theme="0" tint="-0.499984740745262"/>
              </font>
              <fill>
                <patternFill>
                  <bgColor theme="0" tint="-4.9989318521683403E-2"/>
                </patternFill>
              </fill>
            </x14:dxf>
          </x14:cfRule>
          <x14:cfRule type="containsText" priority="10" operator="containsText" id="{7879416D-CF91-45BD-B80C-D159572E30FB}">
            <xm:f>NOT(ISERROR(SEARCH(Auxiliar!$B$22,I1099)))</xm:f>
            <xm:f>Auxiliar!$B$22</xm:f>
            <x14:dxf>
              <font>
                <b/>
                <i val="0"/>
                <color rgb="FFC00000"/>
              </font>
              <fill>
                <patternFill>
                  <bgColor theme="4" tint="0.79998168889431442"/>
                </patternFill>
              </fill>
            </x14:dxf>
          </x14:cfRule>
          <x14:cfRule type="containsText" priority="11" operator="containsText" id="{34D60B81-F491-4180-8968-5B3641CAD330}">
            <xm:f>NOT(ISERROR(SEARCH(Auxiliar!$B$19,I1099)))</xm:f>
            <xm:f>Auxiliar!$B$19</xm:f>
            <x14:dxf>
              <font>
                <b/>
                <i val="0"/>
                <color theme="9" tint="-0.499984740745262"/>
              </font>
              <fill>
                <patternFill>
                  <bgColor theme="9" tint="0.79998168889431442"/>
                </patternFill>
              </fill>
            </x14:dxf>
          </x14:cfRule>
          <x14:cfRule type="containsText" priority="12" operator="containsText" id="{0734C37C-3B43-4B0D-BB4A-B5552E36C3C3}">
            <xm:f>NOT(ISERROR(SEARCH(Auxiliar!$B$16,I1099)))</xm:f>
            <xm:f>Auxiliar!$B$16</xm:f>
            <x14:dxf>
              <font>
                <b/>
                <i val="0"/>
                <color theme="7"/>
              </font>
              <fill>
                <patternFill>
                  <bgColor theme="7" tint="0.79998168889431442"/>
                </patternFill>
              </fill>
            </x14:dxf>
          </x14:cfRule>
          <xm:sqref>I1099</xm:sqref>
        </x14:conditionalFormatting>
        <x14:conditionalFormatting xmlns:xm="http://schemas.microsoft.com/office/excel/2006/main">
          <x14:cfRule type="containsText" priority="1" operator="containsText" id="{F48B2BF5-6845-4309-99E8-30933C9EE615}">
            <xm:f>NOT(ISERROR(SEARCH(Auxiliar!$B$21,I1100)))</xm:f>
            <xm:f>Auxiliar!$B$21</xm:f>
            <x14:dxf>
              <font>
                <b/>
                <i val="0"/>
                <color rgb="FFFFC000"/>
              </font>
              <fill>
                <patternFill>
                  <bgColor theme="9" tint="0.59996337778862885"/>
                </patternFill>
              </fill>
            </x14:dxf>
          </x14:cfRule>
          <x14:cfRule type="cellIs" priority="2" operator="equal" id="{13D25AAA-9E27-4596-8161-C1D8B229FB78}">
            <xm:f>Auxiliar!$B$24</xm:f>
            <x14:dxf>
              <font>
                <b/>
                <i val="0"/>
                <color theme="1"/>
              </font>
              <fill>
                <patternFill patternType="darkUp">
                  <bgColor theme="0"/>
                </patternFill>
              </fill>
            </x14:dxf>
          </x14:cfRule>
          <x14:cfRule type="cellIs" priority="3" operator="equal" id="{22B4EADE-6286-4A66-8996-D7CA931879E6}">
            <xm:f>Auxiliar!$B$18</xm:f>
            <x14:dxf>
              <font>
                <b/>
                <i val="0"/>
                <color theme="0" tint="-0.499984740745262"/>
              </font>
              <fill>
                <patternFill>
                  <bgColor theme="0" tint="-4.9989318521683403E-2"/>
                </patternFill>
              </fill>
            </x14:dxf>
          </x14:cfRule>
          <x14:cfRule type="containsText" priority="4" operator="containsText" id="{C2F100D2-230C-4775-95E5-1B756C722026}">
            <xm:f>NOT(ISERROR(SEARCH(Auxiliar!$B$22,I1100)))</xm:f>
            <xm:f>Auxiliar!$B$22</xm:f>
            <x14:dxf>
              <font>
                <b/>
                <i val="0"/>
                <color rgb="FFC00000"/>
              </font>
              <fill>
                <patternFill>
                  <bgColor theme="4" tint="0.79998168889431442"/>
                </patternFill>
              </fill>
            </x14:dxf>
          </x14:cfRule>
          <x14:cfRule type="containsText" priority="5" operator="containsText" id="{89B66DB3-A772-4893-9D67-D65B5194EBAD}">
            <xm:f>NOT(ISERROR(SEARCH(Auxiliar!$B$19,I1100)))</xm:f>
            <xm:f>Auxiliar!$B$19</xm:f>
            <x14:dxf>
              <font>
                <b/>
                <i val="0"/>
                <color theme="9" tint="-0.499984740745262"/>
              </font>
              <fill>
                <patternFill>
                  <bgColor theme="9" tint="0.79998168889431442"/>
                </patternFill>
              </fill>
            </x14:dxf>
          </x14:cfRule>
          <x14:cfRule type="containsText" priority="6" operator="containsText" id="{5D1F0C29-4DCB-4FAB-A3CE-17A3E4B54DB4}">
            <xm:f>NOT(ISERROR(SEARCH(Auxiliar!$B$16,I1100)))</xm:f>
            <xm:f>Auxiliar!$B$16</xm:f>
            <x14:dxf>
              <font>
                <b/>
                <i val="0"/>
                <color theme="7"/>
              </font>
              <fill>
                <patternFill>
                  <bgColor theme="7" tint="0.79998168889431442"/>
                </patternFill>
              </fill>
            </x14:dxf>
          </x14:cfRule>
          <xm:sqref>I1100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2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9"/>
  <sheetViews>
    <sheetView showGridLines="0" zoomScale="80" zoomScaleNormal="80" workbookViewId="0">
      <pane xSplit="7" ySplit="16" topLeftCell="AR167" activePane="bottomRight" state="frozen"/>
      <selection pane="topRight" activeCell="G1" sqref="G1"/>
      <selection pane="bottomLeft" activeCell="A8" sqref="A8"/>
      <selection pane="bottomRight" activeCell="AW1" sqref="AW1:AW1048576"/>
    </sheetView>
  </sheetViews>
  <sheetFormatPr defaultColWidth="0" defaultRowHeight="13.8" outlineLevelRow="2"/>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6" customWidth="1"/>
    <col min="17" max="17" width="50.59765625" style="276"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0"/>
      <c r="M2" s="270"/>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1"/>
      <c r="M3" s="271"/>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0"/>
      <c r="M4" s="270"/>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2"/>
      <c r="M5" s="272"/>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2012</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0.5</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2">
        <f>SUM(X18:X239)</f>
        <v>0</v>
      </c>
      <c r="Y7" s="282">
        <f>SUM(Y18:Y239)</f>
        <v>0.5</v>
      </c>
      <c r="Z7" s="282">
        <f>SUM(Z18:Z239)</f>
        <v>0.5</v>
      </c>
      <c r="AA7" s="282">
        <f>SUM(AA18:AA239)</f>
        <v>1</v>
      </c>
      <c r="AB7" s="282">
        <f>SUM(AB18:AB239)</f>
        <v>0</v>
      </c>
      <c r="AC7" s="282">
        <f>SUM(AC18:AC239)</f>
        <v>0</v>
      </c>
      <c r="AD7" s="282">
        <f>SUM(AD18:AD239)</f>
        <v>2.5</v>
      </c>
      <c r="AE7" s="282">
        <f>SUM(AE18:AE239)</f>
        <v>0</v>
      </c>
      <c r="AF7" s="282">
        <f>SUM(AF18:AF239)</f>
        <v>4</v>
      </c>
      <c r="AG7" s="282">
        <f>SUM(AG18:AG239)</f>
        <v>3.5</v>
      </c>
      <c r="AH7" s="282">
        <f>SUM(AH18:AH239)</f>
        <v>1</v>
      </c>
      <c r="AI7" s="282">
        <f>SUM(AI18:AI239)</f>
        <v>3</v>
      </c>
      <c r="AJ7" s="282">
        <f>SUM(AJ18:AJ239)</f>
        <v>3.5</v>
      </c>
      <c r="AK7" s="282">
        <f>SUM(AK18:AK239)</f>
        <v>3.1</v>
      </c>
      <c r="AL7" s="282">
        <f>SUM(AL18:AL239)</f>
        <v>2</v>
      </c>
      <c r="AM7" s="282">
        <f>SUM(AM18:AM239)</f>
        <v>2</v>
      </c>
      <c r="AN7" s="282">
        <f>SUM(AN18:AN239)</f>
        <v>2.9000000000000004</v>
      </c>
      <c r="AO7" s="282">
        <f>SUM(AO18:AO239)</f>
        <v>2.5</v>
      </c>
      <c r="AP7" s="282">
        <f>SUM(AP18:AP239)</f>
        <v>3</v>
      </c>
      <c r="AQ7" s="282">
        <f>SUM(AQ18:AQ239)</f>
        <v>3</v>
      </c>
      <c r="AR7" s="282">
        <f>SUM(AR18:AR239)</f>
        <v>3.5</v>
      </c>
      <c r="AS7" s="282">
        <f>SUM(AS18:AS239)</f>
        <v>2.5</v>
      </c>
      <c r="AT7" s="282">
        <f>SUM(AT18:AT239)</f>
        <v>3</v>
      </c>
      <c r="AU7" s="282">
        <f>SUM(AU18:AU239)</f>
        <v>3</v>
      </c>
      <c r="AV7" s="282">
        <f>SUM(AV18:AV239)</f>
        <v>3</v>
      </c>
      <c r="AW7" s="282">
        <f>SUM(AW18:AW239)</f>
        <v>3</v>
      </c>
      <c r="AX7" s="282">
        <f>SUM(AX18:AX239)</f>
        <v>3</v>
      </c>
      <c r="AY7" s="282">
        <f>SUM(AY18:AY239)</f>
        <v>3.2</v>
      </c>
      <c r="AZ7" s="282">
        <f>SUM(AZ18:AZ239)</f>
        <v>3</v>
      </c>
      <c r="BA7" s="282">
        <f>SUM(BA18:BA239)</f>
        <v>2.5</v>
      </c>
      <c r="BB7" s="282">
        <f>SUM(BB18:BB239)</f>
        <v>3.5</v>
      </c>
      <c r="BC7" s="282">
        <f>SUM(BC18:BC239)</f>
        <v>3</v>
      </c>
      <c r="BD7" s="282">
        <f>SUM(BD18:BD239)</f>
        <v>3</v>
      </c>
      <c r="BE7" s="282">
        <f>SUM(BE18:BE239)</f>
        <v>3</v>
      </c>
      <c r="BF7" s="282">
        <f>SUM(BF18:BF239)</f>
        <v>3</v>
      </c>
      <c r="BG7" s="282">
        <f>SUM(BG18:BG239)</f>
        <v>3</v>
      </c>
      <c r="BH7" s="282">
        <f>SUM(BH18:BH239)</f>
        <v>3</v>
      </c>
      <c r="BI7" s="282">
        <f>SUM(BI18:BI239)</f>
        <v>3</v>
      </c>
      <c r="BJ7" s="282">
        <f>SUM(BJ18:BJ239)</f>
        <v>3</v>
      </c>
      <c r="BK7" s="282">
        <f>SUM(BK18:BK239)</f>
        <v>3</v>
      </c>
      <c r="BL7" s="282">
        <f>SUM(BL18:BL239)</f>
        <v>3</v>
      </c>
      <c r="BM7" s="282">
        <f>SUM(BM18:BM239)</f>
        <v>3.5</v>
      </c>
      <c r="BN7" s="282">
        <f>SUM(BN18:BN239)</f>
        <v>0</v>
      </c>
      <c r="BO7" s="282">
        <f>SUM(BO18:BO239)</f>
        <v>0</v>
      </c>
      <c r="BP7" s="282">
        <f>SUM(BP18:BP239)</f>
        <v>0</v>
      </c>
      <c r="BQ7" s="282">
        <f>SUM(BQ18:BQ239)</f>
        <v>0</v>
      </c>
      <c r="BR7" s="282">
        <f>SUM(BR18:BR239)</f>
        <v>0</v>
      </c>
      <c r="BS7" s="282">
        <f>SUM(BS18:BS239)</f>
        <v>0</v>
      </c>
      <c r="BT7" s="282">
        <f>SUM(BT18:BT239)</f>
        <v>0</v>
      </c>
      <c r="BU7" s="282">
        <f>SUM(BU18:BU239)</f>
        <v>3</v>
      </c>
      <c r="BV7" s="282">
        <f>SUM(BV18:BV239)</f>
        <v>3</v>
      </c>
      <c r="BW7" s="282">
        <f>SUM(BW18:BW239)</f>
        <v>3</v>
      </c>
      <c r="BX7" s="282">
        <f>SUM(BX18:BX239)</f>
        <v>3</v>
      </c>
      <c r="BY7" s="282">
        <f>SUM(BY18:BY239)</f>
        <v>3</v>
      </c>
      <c r="BZ7" s="282">
        <f>SUM(BZ18:BZ239)</f>
        <v>3</v>
      </c>
      <c r="CA7" s="282">
        <f>SUM(CA18:CA239)</f>
        <v>3</v>
      </c>
      <c r="CB7" s="282">
        <f>SUM(CB18:CB239)</f>
        <v>3</v>
      </c>
      <c r="CC7" s="282">
        <f>SUM(CC18:CC239)</f>
        <v>3</v>
      </c>
      <c r="CD7" s="282">
        <f>SUM(CD18:CD239)</f>
        <v>3</v>
      </c>
      <c r="CE7" s="282">
        <f>SUM(CE18:CE239)</f>
        <v>3</v>
      </c>
      <c r="CF7" s="282">
        <f>SUM(CF18:CF239)</f>
        <v>3</v>
      </c>
      <c r="CG7" s="282">
        <f>SUM(CG18:CG239)</f>
        <v>3</v>
      </c>
      <c r="CH7" s="282">
        <f>SUM(CH18:CH239)</f>
        <v>1</v>
      </c>
    </row>
    <row r="8" spans="1:86" hidden="1">
      <c r="N8"/>
      <c r="O8"/>
      <c r="P8"/>
      <c r="Q8"/>
      <c r="X8" s="282">
        <v>2</v>
      </c>
      <c r="Y8" s="282">
        <v>3</v>
      </c>
      <c r="Z8" s="282">
        <v>3</v>
      </c>
      <c r="AA8" s="282">
        <v>3</v>
      </c>
      <c r="AB8" s="282">
        <v>2</v>
      </c>
      <c r="AC8" s="282"/>
      <c r="AD8" s="282">
        <v>2</v>
      </c>
      <c r="AE8" s="282">
        <v>2</v>
      </c>
      <c r="AF8" s="282">
        <v>3</v>
      </c>
      <c r="AG8" s="282">
        <v>3</v>
      </c>
      <c r="AH8" s="282">
        <v>3</v>
      </c>
      <c r="AI8" s="282">
        <v>3</v>
      </c>
      <c r="AJ8" s="282">
        <v>3</v>
      </c>
      <c r="AK8" s="282">
        <v>3</v>
      </c>
      <c r="AL8" s="282">
        <v>3</v>
      </c>
      <c r="AM8" s="282">
        <v>3</v>
      </c>
      <c r="AN8" s="282">
        <v>3</v>
      </c>
      <c r="AO8" s="282">
        <v>3</v>
      </c>
      <c r="AP8" s="282">
        <v>3</v>
      </c>
      <c r="AQ8" s="282">
        <v>3</v>
      </c>
      <c r="AR8" s="282">
        <v>3</v>
      </c>
      <c r="AS8" s="282">
        <v>3</v>
      </c>
      <c r="AT8" s="282">
        <v>3</v>
      </c>
      <c r="AU8" s="282">
        <v>3</v>
      </c>
      <c r="AV8" s="282">
        <v>3</v>
      </c>
      <c r="AW8" s="282">
        <v>3</v>
      </c>
      <c r="AX8" s="282">
        <v>3</v>
      </c>
      <c r="AY8" s="282">
        <v>3</v>
      </c>
      <c r="AZ8" s="282">
        <v>3</v>
      </c>
      <c r="BA8" s="282">
        <v>3</v>
      </c>
      <c r="BB8" s="282">
        <v>3</v>
      </c>
      <c r="BC8" s="282">
        <v>3</v>
      </c>
      <c r="BD8" s="282">
        <v>3</v>
      </c>
      <c r="BE8" s="282">
        <v>3</v>
      </c>
      <c r="BF8" s="282">
        <v>3</v>
      </c>
      <c r="BG8" s="282">
        <v>3</v>
      </c>
      <c r="BH8" s="282">
        <v>3</v>
      </c>
      <c r="BI8" s="282">
        <v>3</v>
      </c>
      <c r="BJ8" s="282">
        <v>3</v>
      </c>
      <c r="BK8" s="282">
        <v>3</v>
      </c>
      <c r="BL8" s="282">
        <v>3</v>
      </c>
      <c r="BM8" s="282">
        <v>3</v>
      </c>
      <c r="BN8" s="282">
        <v>3</v>
      </c>
      <c r="BO8" s="282">
        <v>3</v>
      </c>
      <c r="BP8" s="282">
        <v>3</v>
      </c>
      <c r="BQ8" s="282">
        <v>3</v>
      </c>
      <c r="BR8" s="282">
        <v>3</v>
      </c>
      <c r="BS8" s="282">
        <v>3</v>
      </c>
      <c r="BT8" s="282">
        <v>3</v>
      </c>
      <c r="BU8" s="282">
        <v>3</v>
      </c>
      <c r="BV8" s="282">
        <v>3</v>
      </c>
      <c r="BW8" s="282">
        <v>3</v>
      </c>
      <c r="BX8" s="282">
        <v>3</v>
      </c>
      <c r="BY8" s="282">
        <v>3</v>
      </c>
      <c r="BZ8" s="282">
        <v>3</v>
      </c>
      <c r="CA8" s="282">
        <v>3</v>
      </c>
      <c r="CB8" s="282">
        <v>3</v>
      </c>
      <c r="CC8" s="282">
        <v>3</v>
      </c>
      <c r="CD8" s="282">
        <v>3</v>
      </c>
      <c r="CE8" s="282">
        <v>3</v>
      </c>
      <c r="CF8" s="282">
        <v>3</v>
      </c>
      <c r="CG8" s="282">
        <v>3</v>
      </c>
      <c r="CH8" s="282">
        <v>3</v>
      </c>
    </row>
    <row r="9" spans="1:86" hidden="1">
      <c r="N9"/>
      <c r="O9"/>
      <c r="P9"/>
      <c r="Q9"/>
    </row>
    <row r="10" spans="1:86">
      <c r="N10"/>
      <c r="O10"/>
      <c r="P10"/>
      <c r="Q10"/>
    </row>
    <row r="11" spans="1:86">
      <c r="B11" s="222"/>
      <c r="C11" t="s">
        <v>573</v>
      </c>
      <c r="N11"/>
      <c r="O11"/>
      <c r="P11"/>
      <c r="Q11"/>
    </row>
    <row r="12" spans="1:86">
      <c r="B12" s="224"/>
      <c r="C12" t="s">
        <v>1945</v>
      </c>
      <c r="N12"/>
      <c r="O12"/>
      <c r="P12"/>
      <c r="Q12"/>
    </row>
    <row r="13" spans="1:86">
      <c r="B13" s="227"/>
      <c r="C13" t="s">
        <v>1946</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6" customFormat="1" ht="17.399999999999999">
      <c r="B16" s="242" t="s">
        <v>8</v>
      </c>
      <c r="C16" s="243" t="s">
        <v>9</v>
      </c>
      <c r="D16" s="243" t="s">
        <v>10</v>
      </c>
      <c r="E16" s="243" t="s">
        <v>11</v>
      </c>
      <c r="F16" s="243" t="s">
        <v>1980</v>
      </c>
      <c r="G16" s="243" t="s">
        <v>12</v>
      </c>
      <c r="H16" s="243" t="s">
        <v>645</v>
      </c>
      <c r="I16" s="273" t="s">
        <v>1947</v>
      </c>
      <c r="J16" s="273" t="s">
        <v>1948</v>
      </c>
      <c r="K16" s="268" t="s">
        <v>1949</v>
      </c>
      <c r="L16" s="273" t="s">
        <v>2010</v>
      </c>
      <c r="M16" s="273" t="s">
        <v>2011</v>
      </c>
      <c r="N16" s="243" t="s">
        <v>2008</v>
      </c>
      <c r="O16" s="243" t="s">
        <v>2009</v>
      </c>
      <c r="P16" s="243" t="s">
        <v>2013</v>
      </c>
      <c r="Q16" s="243" t="s">
        <v>22</v>
      </c>
      <c r="R16" s="267" t="s">
        <v>1242</v>
      </c>
      <c r="S16" s="267" t="s">
        <v>1950</v>
      </c>
      <c r="T16" s="267" t="s">
        <v>1951</v>
      </c>
      <c r="U16" s="269"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2">WORKDAY(BT16,1)</f>
        <v>45659</v>
      </c>
      <c r="BV16" s="78">
        <f t="shared" si="2"/>
        <v>45660</v>
      </c>
      <c r="BW16" s="78">
        <f t="shared" si="2"/>
        <v>45663</v>
      </c>
      <c r="BX16" s="78">
        <f t="shared" si="2"/>
        <v>45664</v>
      </c>
      <c r="BY16" s="78">
        <f>WORKDAY(BX16,1)</f>
        <v>45665</v>
      </c>
      <c r="BZ16" s="78">
        <f t="shared" ref="BZ16:CC16" si="3">WORKDAY(BY16,1)</f>
        <v>45666</v>
      </c>
      <c r="CA16" s="78">
        <f t="shared" si="3"/>
        <v>45667</v>
      </c>
      <c r="CB16" s="78">
        <f t="shared" si="3"/>
        <v>45670</v>
      </c>
      <c r="CC16" s="78">
        <f t="shared" si="3"/>
        <v>45671</v>
      </c>
      <c r="CD16" s="78">
        <f>WORKDAY(CC16,1)</f>
        <v>45672</v>
      </c>
      <c r="CE16" s="78">
        <f t="shared" ref="CE16:CH16" si="4">WORKDAY(CD16,1)</f>
        <v>45673</v>
      </c>
      <c r="CF16" s="78">
        <f t="shared" si="4"/>
        <v>45674</v>
      </c>
      <c r="CG16" s="78">
        <f t="shared" si="4"/>
        <v>45677</v>
      </c>
      <c r="CH16" s="78">
        <f t="shared" si="4"/>
        <v>45678</v>
      </c>
    </row>
    <row r="17" spans="1:86" ht="16.2">
      <c r="A17" s="30"/>
      <c r="B17" s="142" t="s">
        <v>26</v>
      </c>
      <c r="C17" s="138" t="s">
        <v>34</v>
      </c>
      <c r="D17" s="134"/>
      <c r="E17" s="259" t="s">
        <v>37</v>
      </c>
      <c r="F17" s="259" t="s">
        <v>1981</v>
      </c>
      <c r="G17" s="260">
        <f>COUNTA(G18:G29)</f>
        <v>12</v>
      </c>
      <c r="H17" s="136"/>
      <c r="I17" s="228" t="s">
        <v>38</v>
      </c>
      <c r="J17" s="257">
        <f>MIN(J18:J29)</f>
        <v>45624</v>
      </c>
      <c r="K17" s="258"/>
      <c r="L17" s="292">
        <f>MIN(L18:L29)</f>
        <v>45628</v>
      </c>
      <c r="M17" s="292">
        <f>MAX(M18:M29)</f>
        <v>45629</v>
      </c>
      <c r="N17" s="279">
        <f>SUMPRODUCT(N18:N29,T18:T29)/SUM(T18:T29)</f>
        <v>0</v>
      </c>
      <c r="O17" s="279">
        <f ca="1">SUMPRODUCT(O18:O29,T18:T29)/SUM(T18:T29)</f>
        <v>0</v>
      </c>
      <c r="P17" s="274">
        <f ca="1">N17-O17</f>
        <v>0</v>
      </c>
      <c r="Q17" s="283"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4"/>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customHeight="1" outlineLevel="1">
      <c r="A18" s="30" t="str">
        <f t="shared" ref="A18:A86" si="5">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93">
        <f t="array" ref="L18">MIN(IF(V18:CH18&gt;0,$V$16:$CH$16))</f>
        <v>45628</v>
      </c>
      <c r="M18" s="294">
        <f t="array" ref="M18">MAX(IF(V18:CH18&gt;0,$V$16:$CH$16))</f>
        <v>45628</v>
      </c>
      <c r="N18" s="275">
        <f>VLOOKUP(H18,Auxiliar!$B$16:$E$24,4,0)</f>
        <v>0</v>
      </c>
      <c r="O18" s="275">
        <f ca="1">IF(TODAY()&lt;=L18,0,MIN((TODAY()-L18)/(M18-L18+1),100%))</f>
        <v>0</v>
      </c>
      <c r="P18" s="274">
        <f t="shared" ref="P18:P81" ca="1" si="6">N18-O18</f>
        <v>0</v>
      </c>
      <c r="Q18" s="274"/>
      <c r="R18" s="229"/>
      <c r="S18" s="223">
        <v>0.6</v>
      </c>
      <c r="T18" s="223">
        <f t="shared" ref="T18:T83" si="7">ROUND(S18/8,1)</f>
        <v>0.1</v>
      </c>
      <c r="U18" s="223">
        <f t="shared" ref="U18:U29" si="8">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customHeight="1" outlineLevel="1">
      <c r="A19" s="30" t="str">
        <f t="shared" si="5"/>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93">
        <f t="array" ref="L19">MIN(IF(V19:CH19&gt;0,$V$16:$CH$16))</f>
        <v>45628</v>
      </c>
      <c r="M19" s="294">
        <f t="array" ref="M19">MAX(IF(V19:CH19&gt;0,$V$16:$CH$16))</f>
        <v>45628</v>
      </c>
      <c r="N19" s="275">
        <f>VLOOKUP(H19,Auxiliar!$B$16:$E$24,4,0)</f>
        <v>0</v>
      </c>
      <c r="O19" s="275">
        <f t="shared" ref="O19:O52" ca="1" si="9">IF(TODAY()&lt;=L19,0,MIN((TODAY()-L19)/(M19-L19+1),100%))</f>
        <v>0</v>
      </c>
      <c r="P19" s="274">
        <f t="shared" ca="1" si="6"/>
        <v>0</v>
      </c>
      <c r="Q19" s="274"/>
      <c r="R19" s="229"/>
      <c r="S19" s="223">
        <v>0.6</v>
      </c>
      <c r="T19" s="223">
        <f t="shared" si="7"/>
        <v>0.1</v>
      </c>
      <c r="U19" s="223">
        <f t="shared" si="8"/>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customHeight="1" outlineLevel="1">
      <c r="A20" s="30" t="str">
        <f t="shared" si="5"/>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93">
        <f t="array" ref="L20">MIN(IF(V20:CH20&gt;0,$V$16:$CH$16))</f>
        <v>45628</v>
      </c>
      <c r="M20" s="294">
        <f t="array" ref="M20">MAX(IF(V20:CH20&gt;0,$V$16:$CH$16))</f>
        <v>45628</v>
      </c>
      <c r="N20" s="275">
        <f>VLOOKUP(H20,Auxiliar!$B$16:$E$24,4,0)</f>
        <v>0</v>
      </c>
      <c r="O20" s="275">
        <f t="shared" ca="1" si="9"/>
        <v>0</v>
      </c>
      <c r="P20" s="274">
        <f t="shared" ca="1" si="6"/>
        <v>0</v>
      </c>
      <c r="Q20" s="274"/>
      <c r="R20" s="229"/>
      <c r="S20" s="223">
        <v>0.6</v>
      </c>
      <c r="T20" s="223">
        <f t="shared" si="7"/>
        <v>0.1</v>
      </c>
      <c r="U20" s="223">
        <f t="shared" si="8"/>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customHeight="1" outlineLevel="1">
      <c r="A21" s="30" t="str">
        <f t="shared" si="5"/>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93">
        <f t="array" ref="L21">MIN(IF(V21:CH21&gt;0,$V$16:$CH$16))</f>
        <v>45628</v>
      </c>
      <c r="M21" s="294">
        <f t="array" ref="M21">MAX(IF(V21:CH21&gt;0,$V$16:$CH$16))</f>
        <v>45628</v>
      </c>
      <c r="N21" s="275">
        <f>VLOOKUP(H21,Auxiliar!$B$16:$E$24,4,0)</f>
        <v>0</v>
      </c>
      <c r="O21" s="275">
        <f t="shared" ca="1" si="9"/>
        <v>0</v>
      </c>
      <c r="P21" s="274">
        <f t="shared" ca="1" si="6"/>
        <v>0</v>
      </c>
      <c r="Q21" s="274"/>
      <c r="R21" s="229"/>
      <c r="S21" s="223">
        <v>0.6</v>
      </c>
      <c r="T21" s="223">
        <f t="shared" si="7"/>
        <v>0.1</v>
      </c>
      <c r="U21" s="223">
        <f t="shared" si="8"/>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customHeight="1" outlineLevel="1">
      <c r="A22" s="30" t="str">
        <f t="shared" si="5"/>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93">
        <f t="array" ref="L22">MIN(IF(V22:CH22&gt;0,$V$16:$CH$16))</f>
        <v>45628</v>
      </c>
      <c r="M22" s="294">
        <f t="array" ref="M22">MAX(IF(V22:CH22&gt;0,$V$16:$CH$16))</f>
        <v>45628</v>
      </c>
      <c r="N22" s="275">
        <f>VLOOKUP(H22,Auxiliar!$B$16:$E$24,4,0)</f>
        <v>0</v>
      </c>
      <c r="O22" s="275">
        <f t="shared" ca="1" si="9"/>
        <v>0</v>
      </c>
      <c r="P22" s="274">
        <f t="shared" ca="1" si="6"/>
        <v>0</v>
      </c>
      <c r="Q22" s="274"/>
      <c r="R22" s="229"/>
      <c r="S22" s="223">
        <v>0.6</v>
      </c>
      <c r="T22" s="223">
        <f t="shared" si="7"/>
        <v>0.1</v>
      </c>
      <c r="U22" s="223">
        <f t="shared" si="8"/>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customHeight="1" outlineLevel="1">
      <c r="A23" s="30" t="str">
        <f t="shared" si="5"/>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93">
        <f t="array" ref="L23">MIN(IF(V23:CH23&gt;0,$V$16:$CH$16))</f>
        <v>45628</v>
      </c>
      <c r="M23" s="294">
        <f t="array" ref="M23">MAX(IF(V23:CH23&gt;0,$V$16:$CH$16))</f>
        <v>45628</v>
      </c>
      <c r="N23" s="275">
        <f>VLOOKUP(H23,Auxiliar!$B$16:$E$24,4,0)</f>
        <v>0</v>
      </c>
      <c r="O23" s="275">
        <f t="shared" ca="1" si="9"/>
        <v>0</v>
      </c>
      <c r="P23" s="274">
        <f t="shared" ca="1" si="6"/>
        <v>0</v>
      </c>
      <c r="Q23" s="274"/>
      <c r="R23" s="229"/>
      <c r="S23" s="223">
        <v>0.6</v>
      </c>
      <c r="T23" s="223">
        <f t="shared" si="7"/>
        <v>0.1</v>
      </c>
      <c r="U23" s="223">
        <f t="shared" si="8"/>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customHeight="1" outlineLevel="1">
      <c r="A24" s="30" t="str">
        <f t="shared" si="5"/>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93">
        <f t="array" ref="L24">MIN(IF(V24:CH24&gt;0,$V$16:$CH$16))</f>
        <v>45628</v>
      </c>
      <c r="M24" s="294">
        <f t="array" ref="M24">MAX(IF(V24:CH24&gt;0,$V$16:$CH$16))</f>
        <v>45628</v>
      </c>
      <c r="N24" s="275">
        <f>VLOOKUP(H24,Auxiliar!$B$16:$E$24,4,0)</f>
        <v>0</v>
      </c>
      <c r="O24" s="275">
        <f t="shared" ca="1" si="9"/>
        <v>0</v>
      </c>
      <c r="P24" s="274">
        <f t="shared" ca="1" si="6"/>
        <v>0</v>
      </c>
      <c r="Q24" s="274"/>
      <c r="R24" s="229"/>
      <c r="S24" s="223">
        <v>0.6</v>
      </c>
      <c r="T24" s="223">
        <f t="shared" si="7"/>
        <v>0.1</v>
      </c>
      <c r="U24" s="223">
        <f t="shared" si="8"/>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customHeight="1" outlineLevel="1">
      <c r="A25" s="30" t="str">
        <f t="shared" si="5"/>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93">
        <f t="array" ref="L25">MIN(IF(V25:CH25&gt;0,$V$16:$CH$16))</f>
        <v>45628</v>
      </c>
      <c r="M25" s="294">
        <f t="array" ref="M25">MAX(IF(V25:CH25&gt;0,$V$16:$CH$16))</f>
        <v>45628</v>
      </c>
      <c r="N25" s="275">
        <f>VLOOKUP(H25,Auxiliar!$B$16:$E$24,4,0)</f>
        <v>0</v>
      </c>
      <c r="O25" s="275">
        <f t="shared" ca="1" si="9"/>
        <v>0</v>
      </c>
      <c r="P25" s="274">
        <f t="shared" ca="1" si="6"/>
        <v>0</v>
      </c>
      <c r="Q25" s="274"/>
      <c r="R25" s="229"/>
      <c r="S25" s="223">
        <v>0.6</v>
      </c>
      <c r="T25" s="223">
        <f t="shared" si="7"/>
        <v>0.1</v>
      </c>
      <c r="U25" s="223">
        <f t="shared" si="8"/>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customHeight="1" outlineLevel="1">
      <c r="A26" s="30" t="str">
        <f t="shared" si="5"/>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93">
        <f t="array" ref="L26">MIN(IF(V26:CH26&gt;0,$V$16:$CH$16))</f>
        <v>45628</v>
      </c>
      <c r="M26" s="294">
        <f t="array" ref="M26">MAX(IF(V26:CH26&gt;0,$V$16:$CH$16))</f>
        <v>45628</v>
      </c>
      <c r="N26" s="275">
        <f>VLOOKUP(H26,Auxiliar!$B$16:$E$24,4,0)</f>
        <v>0</v>
      </c>
      <c r="O26" s="275">
        <f t="shared" ca="1" si="9"/>
        <v>0</v>
      </c>
      <c r="P26" s="274">
        <f t="shared" ca="1" si="6"/>
        <v>0</v>
      </c>
      <c r="Q26" s="274"/>
      <c r="R26" s="229"/>
      <c r="S26" s="223">
        <v>0.6</v>
      </c>
      <c r="T26" s="223">
        <f t="shared" si="7"/>
        <v>0.1</v>
      </c>
      <c r="U26" s="223">
        <f t="shared" si="8"/>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customHeight="1" outlineLevel="1">
      <c r="A27" s="30" t="str">
        <f t="shared" si="5"/>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93">
        <f t="array" ref="L27">MIN(IF(V27:CH27&gt;0,$V$16:$CH$16))</f>
        <v>45628</v>
      </c>
      <c r="M27" s="294">
        <f t="array" ref="M27">MAX(IF(V27:CH27&gt;0,$V$16:$CH$16))</f>
        <v>45628</v>
      </c>
      <c r="N27" s="275">
        <f>VLOOKUP(H27,Auxiliar!$B$16:$E$24,4,0)</f>
        <v>0</v>
      </c>
      <c r="O27" s="275">
        <f t="shared" ca="1" si="9"/>
        <v>0</v>
      </c>
      <c r="P27" s="274">
        <f t="shared" ca="1" si="6"/>
        <v>0</v>
      </c>
      <c r="Q27" s="274"/>
      <c r="R27" s="229"/>
      <c r="S27" s="223">
        <v>0.6</v>
      </c>
      <c r="T27" s="223">
        <f t="shared" si="7"/>
        <v>0.1</v>
      </c>
      <c r="U27" s="223">
        <f t="shared" si="8"/>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customHeight="1" outlineLevel="1">
      <c r="A28" s="30" t="str">
        <f t="shared" si="5"/>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93">
        <f t="array" ref="L28">MIN(IF(V28:CH28&gt;0,$V$16:$CH$16))</f>
        <v>45629</v>
      </c>
      <c r="M28" s="294">
        <f t="array" ref="M28">MAX(IF(V28:CH28&gt;0,$V$16:$CH$16))</f>
        <v>45629</v>
      </c>
      <c r="N28" s="275">
        <f>VLOOKUP(H28,Auxiliar!$B$16:$E$24,4,0)</f>
        <v>0</v>
      </c>
      <c r="O28" s="275">
        <f t="shared" ca="1" si="9"/>
        <v>0</v>
      </c>
      <c r="P28" s="274">
        <f t="shared" ca="1" si="6"/>
        <v>0</v>
      </c>
      <c r="Q28" s="274"/>
      <c r="R28" s="229"/>
      <c r="S28" s="223">
        <v>0.6</v>
      </c>
      <c r="T28" s="223">
        <f t="shared" si="7"/>
        <v>0.1</v>
      </c>
      <c r="U28" s="223">
        <f t="shared" si="8"/>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customHeight="1" outlineLevel="1">
      <c r="A29" s="30" t="str">
        <f t="shared" si="5"/>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93">
        <f t="array" ref="L29">MIN(IF(V29:CH29&gt;0,$V$16:$CH$16))</f>
        <v>45629</v>
      </c>
      <c r="M29" s="294">
        <f t="array" ref="M29">MAX(IF(V29:CH29&gt;0,$V$16:$CH$16))</f>
        <v>45629</v>
      </c>
      <c r="N29" s="275">
        <f>VLOOKUP(H29,Auxiliar!$B$16:$E$24,4,0)</f>
        <v>0</v>
      </c>
      <c r="O29" s="275">
        <f t="shared" ca="1" si="9"/>
        <v>0</v>
      </c>
      <c r="P29" s="274">
        <f t="shared" ca="1" si="6"/>
        <v>0</v>
      </c>
      <c r="Q29" s="274"/>
      <c r="R29" s="229"/>
      <c r="S29" s="223">
        <v>0.6</v>
      </c>
      <c r="T29" s="223">
        <f t="shared" si="7"/>
        <v>0.1</v>
      </c>
      <c r="U29" s="223">
        <f t="shared" si="8"/>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 r="A30" s="30"/>
      <c r="B30" s="142" t="s">
        <v>26</v>
      </c>
      <c r="C30" s="138" t="s">
        <v>54</v>
      </c>
      <c r="D30" s="134"/>
      <c r="E30" s="259" t="s">
        <v>123</v>
      </c>
      <c r="F30" s="259" t="s">
        <v>2006</v>
      </c>
      <c r="G30" s="260">
        <f>COUNTA(G31:G52)</f>
        <v>22</v>
      </c>
      <c r="H30" s="136"/>
      <c r="I30" s="228" t="s">
        <v>38</v>
      </c>
      <c r="J30" s="257">
        <f>MIN(J31:J52)</f>
        <v>45593</v>
      </c>
      <c r="K30" s="258">
        <f>MIN(K31:K52)</f>
        <v>45593</v>
      </c>
      <c r="L30" s="292">
        <f>MIN(L31:L52)</f>
        <v>45594</v>
      </c>
      <c r="M30" s="292">
        <f>MAX(M31:M52)</f>
        <v>45608</v>
      </c>
      <c r="N30" s="279">
        <f>SUMPRODUCT(N31:N52,T31:T52)/SUM(T31:T52)</f>
        <v>0</v>
      </c>
      <c r="O30" s="279">
        <f ca="1">SUMPRODUCT(O31:O52,T31:T52)/SUM(T31:T52)</f>
        <v>1</v>
      </c>
      <c r="P30" s="274">
        <f t="shared" ca="1" si="6"/>
        <v>-1</v>
      </c>
      <c r="Q30" s="283" t="s">
        <v>2028</v>
      </c>
      <c r="R30" s="229"/>
      <c r="S30" s="223"/>
      <c r="T30" s="223"/>
      <c r="U30" s="223"/>
      <c r="V30" s="79"/>
      <c r="W30" s="79"/>
      <c r="X30" s="79"/>
      <c r="Y30" s="226"/>
      <c r="Z30" s="79"/>
      <c r="AA30" s="79"/>
      <c r="AB30" s="79"/>
      <c r="AC30" s="92"/>
      <c r="AD30" s="226"/>
      <c r="AE30" s="79"/>
      <c r="AF30" s="79"/>
      <c r="AG30" s="79"/>
      <c r="AH30" s="236"/>
      <c r="AI30" s="79"/>
      <c r="AJ30" s="79"/>
      <c r="AK30" s="79"/>
      <c r="AL30" s="79"/>
      <c r="AM30" s="264"/>
      <c r="AN30" s="79"/>
      <c r="AO30" s="79"/>
      <c r="AP30" s="236"/>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outlineLevel="1">
      <c r="A31" s="30" t="str">
        <f t="shared" si="5"/>
        <v>PROPERTY_ENERGY_CERTIFICATELAND_REGISTRY_OFFICE_CODE</v>
      </c>
      <c r="B31" s="142" t="s">
        <v>26</v>
      </c>
      <c r="C31" s="138" t="s">
        <v>54</v>
      </c>
      <c r="D31" s="252" t="s">
        <v>40</v>
      </c>
      <c r="E31" s="253" t="s">
        <v>123</v>
      </c>
      <c r="F31" s="253"/>
      <c r="G31" s="252" t="s">
        <v>125</v>
      </c>
      <c r="H31" s="254" t="str">
        <f>VLOOKUP(A31,'2. Status Detalhe Campos'!$A$7:$G$574,7,0)</f>
        <v>6. Em implementação (re-especificação)</v>
      </c>
      <c r="I31" s="228" t="s">
        <v>38</v>
      </c>
      <c r="J31" s="153">
        <v>45593</v>
      </c>
      <c r="K31" s="153">
        <v>45593</v>
      </c>
      <c r="L31" s="278">
        <f t="array" ref="L31">MIN(IF(V31:CH31&gt;0,$V$16:$CH$16))</f>
        <v>45594</v>
      </c>
      <c r="M31" s="277">
        <f t="array" ref="M31">MAX(IF(V31:CH31&gt;0,$V$16:$CH$16))</f>
        <v>45594</v>
      </c>
      <c r="N31" s="275">
        <f>VLOOKUP(H31,Auxiliar!$B$16:$E$24,4,0)</f>
        <v>0</v>
      </c>
      <c r="O31" s="275">
        <f t="shared" ca="1" si="9"/>
        <v>1</v>
      </c>
      <c r="P31" s="274">
        <f t="shared" ca="1" si="6"/>
        <v>-1</v>
      </c>
      <c r="Q31" s="274"/>
      <c r="R31" s="231" t="s">
        <v>1953</v>
      </c>
      <c r="S31" s="223">
        <v>4.0999999999999996</v>
      </c>
      <c r="T31" s="223">
        <f t="shared" si="7"/>
        <v>0.5</v>
      </c>
      <c r="U31" s="223">
        <f t="shared" ref="U31:U52" si="10">SUM(V31:CH31)-T31</f>
        <v>0</v>
      </c>
      <c r="V31" s="79"/>
      <c r="W31" s="79"/>
      <c r="X31" s="79"/>
      <c r="Y31" s="226"/>
      <c r="Z31" s="79">
        <v>0.5</v>
      </c>
      <c r="AA31" s="79"/>
      <c r="AB31" s="79"/>
      <c r="AC31" s="92"/>
      <c r="AD31" s="226"/>
      <c r="AE31" s="79"/>
      <c r="AF31" s="79"/>
      <c r="AG31" s="79"/>
      <c r="AH31" s="236"/>
      <c r="AI31" s="79"/>
      <c r="AJ31" s="79"/>
      <c r="AK31" s="79"/>
      <c r="AL31" s="79"/>
      <c r="AM31" s="79"/>
      <c r="AN31" s="79"/>
      <c r="AO31" s="79"/>
      <c r="AP31" s="236"/>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outlineLevel="1">
      <c r="A32" s="30" t="str">
        <f t="shared" si="5"/>
        <v>PROPERTY_ENERGY_CERTIFICATEPROPERTY_IDENTIFICATION_CODE</v>
      </c>
      <c r="B32" s="142" t="s">
        <v>26</v>
      </c>
      <c r="C32" s="138" t="s">
        <v>54</v>
      </c>
      <c r="D32" s="252" t="s">
        <v>40</v>
      </c>
      <c r="E32" s="253" t="s">
        <v>123</v>
      </c>
      <c r="F32" s="253"/>
      <c r="G32" s="252" t="s">
        <v>126</v>
      </c>
      <c r="H32" s="254" t="str">
        <f>VLOOKUP(A32,'2. Status Detalhe Campos'!$A$7:$G$574,7,0)</f>
        <v>6. Em implementação (re-especificação)</v>
      </c>
      <c r="I32" s="228" t="s">
        <v>38</v>
      </c>
      <c r="J32" s="153">
        <v>45593</v>
      </c>
      <c r="K32" s="153">
        <v>45593</v>
      </c>
      <c r="L32" s="278">
        <f t="array" ref="L32">MIN(IF(V32:CH32&gt;0,$V$16:$CH$16))</f>
        <v>45595</v>
      </c>
      <c r="M32" s="277">
        <f t="array" ref="M32">MAX(IF(V32:CH32&gt;0,$V$16:$CH$16))</f>
        <v>45595</v>
      </c>
      <c r="N32" s="275">
        <f>VLOOKUP(H32,Auxiliar!$B$16:$E$24,4,0)</f>
        <v>0</v>
      </c>
      <c r="O32" s="275">
        <f t="shared" ca="1" si="9"/>
        <v>1</v>
      </c>
      <c r="P32" s="274">
        <f t="shared" ca="1" si="6"/>
        <v>-1</v>
      </c>
      <c r="Q32" s="274"/>
      <c r="R32" s="231" t="s">
        <v>1953</v>
      </c>
      <c r="S32" s="223">
        <v>4.0999999999999996</v>
      </c>
      <c r="T32" s="223">
        <f t="shared" si="7"/>
        <v>0.5</v>
      </c>
      <c r="U32" s="223">
        <f t="shared" si="10"/>
        <v>0</v>
      </c>
      <c r="V32" s="79"/>
      <c r="W32" s="79"/>
      <c r="X32" s="79"/>
      <c r="Y32" s="226"/>
      <c r="Z32" s="79"/>
      <c r="AA32" s="79">
        <v>0.5</v>
      </c>
      <c r="AB32" s="79"/>
      <c r="AC32" s="92"/>
      <c r="AD32" s="226"/>
      <c r="AE32" s="79"/>
      <c r="AF32" s="79"/>
      <c r="AG32" s="79"/>
      <c r="AH32" s="236"/>
      <c r="AI32" s="79"/>
      <c r="AJ32" s="79"/>
      <c r="AK32" s="79"/>
      <c r="AL32" s="79"/>
      <c r="AM32" s="79"/>
      <c r="AN32" s="79"/>
      <c r="AO32" s="79"/>
      <c r="AP32" s="236"/>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outlineLevel="1">
      <c r="A33" s="30" t="str">
        <f t="shared" si="5"/>
        <v>PROPERTY_ENERGY_CERTIFICATEENERGY_CERTIFICATION_SYSTEM_CODE</v>
      </c>
      <c r="B33" s="142" t="s">
        <v>26</v>
      </c>
      <c r="C33" s="138" t="s">
        <v>54</v>
      </c>
      <c r="D33" s="252" t="s">
        <v>40</v>
      </c>
      <c r="E33" s="253" t="s">
        <v>123</v>
      </c>
      <c r="F33" s="253"/>
      <c r="G33" s="252" t="s">
        <v>127</v>
      </c>
      <c r="H33" s="254" t="str">
        <f>VLOOKUP(A33,'2. Status Detalhe Campos'!$A$7:$G$574,7,0)</f>
        <v>6. Em implementação (re-especificação)</v>
      </c>
      <c r="I33" s="228" t="s">
        <v>38</v>
      </c>
      <c r="J33" s="153">
        <v>45593</v>
      </c>
      <c r="K33" s="153">
        <v>45593</v>
      </c>
      <c r="L33" s="278">
        <f t="array" ref="L33">MIN(IF(V33:CH33&gt;0,$V$16:$CH$16))</f>
        <v>45595</v>
      </c>
      <c r="M33" s="277">
        <f t="array" ref="M33">MAX(IF(V33:CH33&gt;0,$V$16:$CH$16))</f>
        <v>45595</v>
      </c>
      <c r="N33" s="275">
        <f>VLOOKUP(H33,Auxiliar!$B$16:$E$24,4,0)</f>
        <v>0</v>
      </c>
      <c r="O33" s="275">
        <f t="shared" ca="1" si="9"/>
        <v>1</v>
      </c>
      <c r="P33" s="274">
        <f t="shared" ca="1" si="6"/>
        <v>-1</v>
      </c>
      <c r="Q33" s="274"/>
      <c r="R33" s="231" t="s">
        <v>1953</v>
      </c>
      <c r="S33" s="223">
        <v>4.0999999999999996</v>
      </c>
      <c r="T33" s="223">
        <f t="shared" si="7"/>
        <v>0.5</v>
      </c>
      <c r="U33" s="223">
        <f t="shared" si="10"/>
        <v>0</v>
      </c>
      <c r="V33" s="79"/>
      <c r="W33" s="79"/>
      <c r="X33" s="79"/>
      <c r="Y33" s="226"/>
      <c r="Z33" s="79"/>
      <c r="AA33" s="79">
        <v>0.5</v>
      </c>
      <c r="AB33" s="79"/>
      <c r="AC33" s="92"/>
      <c r="AD33" s="226"/>
      <c r="AE33" s="79"/>
      <c r="AF33" s="79"/>
      <c r="AG33" s="79"/>
      <c r="AH33" s="236"/>
      <c r="AI33" s="79"/>
      <c r="AJ33" s="79"/>
      <c r="AK33" s="79"/>
      <c r="AL33" s="79"/>
      <c r="AM33" s="79"/>
      <c r="AN33" s="79"/>
      <c r="AO33" s="79"/>
      <c r="AP33" s="236"/>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outlineLevel="1">
      <c r="A34" s="30" t="str">
        <f t="shared" si="5"/>
        <v>PROPERTY_ENERGY_CERTIFICATEEPC_ISSUING_DATE</v>
      </c>
      <c r="B34" s="142" t="s">
        <v>26</v>
      </c>
      <c r="C34" s="138" t="s">
        <v>54</v>
      </c>
      <c r="D34" s="252" t="s">
        <v>40</v>
      </c>
      <c r="E34" s="253" t="s">
        <v>123</v>
      </c>
      <c r="F34" s="253"/>
      <c r="G34" s="252" t="s">
        <v>128</v>
      </c>
      <c r="H34" s="254" t="str">
        <f>VLOOKUP(A34,'2. Status Detalhe Campos'!$A$7:$G$574,7,0)</f>
        <v>6. Em implementação (re-especificação)</v>
      </c>
      <c r="I34" s="228" t="s">
        <v>38</v>
      </c>
      <c r="J34" s="153">
        <v>45593</v>
      </c>
      <c r="K34" s="153">
        <v>45593</v>
      </c>
      <c r="L34" s="278">
        <f t="array" ref="L34">MIN(IF(V34:CH34&gt;0,$V$16:$CH$16))</f>
        <v>45602</v>
      </c>
      <c r="M34" s="277">
        <f t="array" ref="M34">MAX(IF(V34:CH34&gt;0,$V$16:$CH$16))</f>
        <v>45602</v>
      </c>
      <c r="N34" s="275">
        <f>VLOOKUP(H34,Auxiliar!$B$16:$E$24,4,0)</f>
        <v>0</v>
      </c>
      <c r="O34" s="275">
        <f t="shared" ca="1" si="9"/>
        <v>1</v>
      </c>
      <c r="P34" s="274">
        <f t="shared" ca="1" si="6"/>
        <v>-1</v>
      </c>
      <c r="Q34" s="274"/>
      <c r="R34" s="231" t="s">
        <v>1953</v>
      </c>
      <c r="S34" s="223">
        <v>4.0999999999999996</v>
      </c>
      <c r="T34" s="223">
        <f t="shared" si="7"/>
        <v>0.5</v>
      </c>
      <c r="U34" s="223">
        <f t="shared" si="10"/>
        <v>0</v>
      </c>
      <c r="V34" s="79"/>
      <c r="W34" s="79"/>
      <c r="X34" s="79"/>
      <c r="Y34" s="226"/>
      <c r="Z34" s="79"/>
      <c r="AA34" s="79"/>
      <c r="AB34" s="79"/>
      <c r="AC34" s="92"/>
      <c r="AD34" s="226"/>
      <c r="AE34" s="79"/>
      <c r="AF34" s="79">
        <v>0.5</v>
      </c>
      <c r="AG34" s="79"/>
      <c r="AH34" s="236"/>
      <c r="AI34" s="79"/>
      <c r="AJ34" s="79"/>
      <c r="AK34" s="79"/>
      <c r="AL34" s="79"/>
      <c r="AM34" s="79"/>
      <c r="AN34" s="79"/>
      <c r="AO34" s="79"/>
      <c r="AP34" s="236"/>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outlineLevel="1">
      <c r="A35" s="30" t="str">
        <f t="shared" si="5"/>
        <v>PROPERTY_ENERGY_CERTIFICATEEPC_EXPIRATION_DATE</v>
      </c>
      <c r="B35" s="142" t="s">
        <v>26</v>
      </c>
      <c r="C35" s="138" t="s">
        <v>54</v>
      </c>
      <c r="D35" s="252" t="s">
        <v>40</v>
      </c>
      <c r="E35" s="253" t="s">
        <v>123</v>
      </c>
      <c r="F35" s="253"/>
      <c r="G35" s="252" t="s">
        <v>129</v>
      </c>
      <c r="H35" s="254" t="str">
        <f>VLOOKUP(A35,'2. Status Detalhe Campos'!$A$7:$G$574,7,0)</f>
        <v>6. Em implementação (re-especificação)</v>
      </c>
      <c r="I35" s="228" t="s">
        <v>38</v>
      </c>
      <c r="J35" s="153">
        <v>45593</v>
      </c>
      <c r="K35" s="153">
        <v>45593</v>
      </c>
      <c r="L35" s="278">
        <f t="array" ref="L35">MIN(IF(V35:CH35&gt;0,$V$16:$CH$16))</f>
        <v>45602</v>
      </c>
      <c r="M35" s="277">
        <f t="array" ref="M35">MAX(IF(V35:CH35&gt;0,$V$16:$CH$16))</f>
        <v>45602</v>
      </c>
      <c r="N35" s="275">
        <f>VLOOKUP(H35,Auxiliar!$B$16:$E$24,4,0)</f>
        <v>0</v>
      </c>
      <c r="O35" s="275">
        <f t="shared" ca="1" si="9"/>
        <v>1</v>
      </c>
      <c r="P35" s="274">
        <f t="shared" ca="1" si="6"/>
        <v>-1</v>
      </c>
      <c r="Q35" s="274"/>
      <c r="R35" s="231" t="s">
        <v>1953</v>
      </c>
      <c r="S35" s="223">
        <v>4.0999999999999996</v>
      </c>
      <c r="T35" s="223">
        <f t="shared" si="7"/>
        <v>0.5</v>
      </c>
      <c r="U35" s="223">
        <f t="shared" si="10"/>
        <v>0</v>
      </c>
      <c r="V35" s="79"/>
      <c r="W35" s="79"/>
      <c r="X35" s="79"/>
      <c r="Y35" s="226"/>
      <c r="Z35" s="79"/>
      <c r="AA35" s="79"/>
      <c r="AB35" s="79"/>
      <c r="AC35" s="92"/>
      <c r="AD35" s="226"/>
      <c r="AE35" s="79"/>
      <c r="AF35" s="79">
        <v>0.5</v>
      </c>
      <c r="AG35" s="79"/>
      <c r="AH35" s="236"/>
      <c r="AI35" s="79"/>
      <c r="AJ35" s="79"/>
      <c r="AK35" s="79"/>
      <c r="AL35" s="79"/>
      <c r="AM35" s="79"/>
      <c r="AN35" s="79"/>
      <c r="AO35" s="79"/>
      <c r="AP35" s="236"/>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outlineLevel="1">
      <c r="A36" s="30" t="str">
        <f t="shared" si="5"/>
        <v>PROPERTY_ENERGY_CERTIFICATEEPC</v>
      </c>
      <c r="B36" s="142" t="s">
        <v>26</v>
      </c>
      <c r="C36" s="138" t="s">
        <v>54</v>
      </c>
      <c r="D36" s="252" t="s">
        <v>40</v>
      </c>
      <c r="E36" s="253" t="s">
        <v>123</v>
      </c>
      <c r="F36" s="253"/>
      <c r="G36" s="252" t="s">
        <v>47</v>
      </c>
      <c r="H36" s="254" t="str">
        <f>VLOOKUP(A36,'2. Status Detalhe Campos'!$A$7:$G$574,7,0)</f>
        <v>6. Em implementação (re-especificação)</v>
      </c>
      <c r="I36" s="228" t="s">
        <v>38</v>
      </c>
      <c r="J36" s="153">
        <v>45593</v>
      </c>
      <c r="K36" s="153">
        <v>45593</v>
      </c>
      <c r="L36" s="278">
        <f t="array" ref="L36">MIN(IF(V36:CH36&gt;0,$V$16:$CH$16))</f>
        <v>45602</v>
      </c>
      <c r="M36" s="277">
        <f t="array" ref="M36">MAX(IF(V36:CH36&gt;0,$V$16:$CH$16))</f>
        <v>45602</v>
      </c>
      <c r="N36" s="275">
        <f>VLOOKUP(H36,Auxiliar!$B$16:$E$24,4,0)</f>
        <v>0</v>
      </c>
      <c r="O36" s="275">
        <f t="shared" ca="1" si="9"/>
        <v>1</v>
      </c>
      <c r="P36" s="274">
        <f t="shared" ca="1" si="6"/>
        <v>-1</v>
      </c>
      <c r="Q36" s="274"/>
      <c r="R36" s="231" t="s">
        <v>1953</v>
      </c>
      <c r="S36" s="223">
        <v>4.0999999999999996</v>
      </c>
      <c r="T36" s="223">
        <f t="shared" si="7"/>
        <v>0.5</v>
      </c>
      <c r="U36" s="223">
        <f t="shared" si="10"/>
        <v>0</v>
      </c>
      <c r="V36" s="79"/>
      <c r="W36" s="79"/>
      <c r="X36" s="79"/>
      <c r="Y36" s="226"/>
      <c r="Z36" s="79"/>
      <c r="AA36" s="79"/>
      <c r="AB36" s="79"/>
      <c r="AC36" s="92"/>
      <c r="AD36" s="226"/>
      <c r="AE36" s="79"/>
      <c r="AF36" s="79">
        <v>0.5</v>
      </c>
      <c r="AG36" s="79"/>
      <c r="AH36" s="236"/>
      <c r="AI36" s="79"/>
      <c r="AJ36" s="79"/>
      <c r="AK36" s="79"/>
      <c r="AL36" s="79"/>
      <c r="AM36" s="79"/>
      <c r="AN36" s="79"/>
      <c r="AO36" s="79"/>
      <c r="AP36" s="236"/>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outlineLevel="1">
      <c r="A37" s="30" t="str">
        <f t="shared" si="5"/>
        <v>PROPERTY_ENERGY_CERTIFICATEENERGY_EFFICIENCY_IND</v>
      </c>
      <c r="B37" s="142" t="s">
        <v>26</v>
      </c>
      <c r="C37" s="138" t="s">
        <v>54</v>
      </c>
      <c r="D37" s="252" t="s">
        <v>40</v>
      </c>
      <c r="E37" s="253" t="s">
        <v>123</v>
      </c>
      <c r="F37" s="253"/>
      <c r="G37" s="252" t="s">
        <v>132</v>
      </c>
      <c r="H37" s="254" t="str">
        <f>VLOOKUP(A37,'2. Status Detalhe Campos'!$A$7:$G$574,7,0)</f>
        <v>6. Em implementação (re-especificação)</v>
      </c>
      <c r="I37" s="228" t="s">
        <v>38</v>
      </c>
      <c r="J37" s="153">
        <v>45593</v>
      </c>
      <c r="K37" s="153">
        <v>45593</v>
      </c>
      <c r="L37" s="278">
        <f t="array" ref="L37">MIN(IF(V37:CH37&gt;0,$V$16:$CH$16))</f>
        <v>45602</v>
      </c>
      <c r="M37" s="277">
        <f t="array" ref="M37">MAX(IF(V37:CH37&gt;0,$V$16:$CH$16))</f>
        <v>45602</v>
      </c>
      <c r="N37" s="275">
        <f>VLOOKUP(H37,Auxiliar!$B$16:$E$24,4,0)</f>
        <v>0</v>
      </c>
      <c r="O37" s="275">
        <f t="shared" ca="1" si="9"/>
        <v>1</v>
      </c>
      <c r="P37" s="274">
        <f t="shared" ca="1" si="6"/>
        <v>-1</v>
      </c>
      <c r="Q37" s="274"/>
      <c r="R37" s="231" t="s">
        <v>1953</v>
      </c>
      <c r="S37" s="223">
        <v>4.0999999999999996</v>
      </c>
      <c r="T37" s="223">
        <f t="shared" si="7"/>
        <v>0.5</v>
      </c>
      <c r="U37" s="223">
        <f t="shared" si="10"/>
        <v>0</v>
      </c>
      <c r="V37" s="79"/>
      <c r="W37" s="79"/>
      <c r="X37" s="79"/>
      <c r="Y37" s="226"/>
      <c r="Z37" s="79"/>
      <c r="AA37" s="79"/>
      <c r="AB37" s="79"/>
      <c r="AC37" s="92"/>
      <c r="AD37" s="226"/>
      <c r="AE37" s="79"/>
      <c r="AF37" s="79">
        <v>0.5</v>
      </c>
      <c r="AG37" s="79"/>
      <c r="AH37" s="236"/>
      <c r="AI37" s="79"/>
      <c r="AJ37" s="79"/>
      <c r="AK37" s="79"/>
      <c r="AL37" s="79"/>
      <c r="AM37" s="79"/>
      <c r="AN37" s="79"/>
      <c r="AO37" s="79"/>
      <c r="AP37" s="236"/>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outlineLevel="1">
      <c r="A38" s="30" t="str">
        <f t="shared" si="5"/>
        <v>PROPERTY_ENERGY_CERTIFICATENZEB_IND</v>
      </c>
      <c r="B38" s="142" t="s">
        <v>26</v>
      </c>
      <c r="C38" s="138" t="s">
        <v>54</v>
      </c>
      <c r="D38" s="252" t="s">
        <v>40</v>
      </c>
      <c r="E38" s="253" t="s">
        <v>123</v>
      </c>
      <c r="F38" s="253"/>
      <c r="G38" s="252" t="s">
        <v>134</v>
      </c>
      <c r="H38" s="254" t="str">
        <f>VLOOKUP(A38,'2. Status Detalhe Campos'!$A$7:$G$574,7,0)</f>
        <v>6. Em implementação (re-especificação)</v>
      </c>
      <c r="I38" s="228" t="s">
        <v>38</v>
      </c>
      <c r="J38" s="153">
        <v>45593</v>
      </c>
      <c r="K38" s="153">
        <v>45593</v>
      </c>
      <c r="L38" s="278">
        <f t="array" ref="L38">MIN(IF(V38:CH38&gt;0,$V$16:$CH$16))</f>
        <v>45603</v>
      </c>
      <c r="M38" s="277">
        <f t="array" ref="M38">MAX(IF(V38:CH38&gt;0,$V$16:$CH$16))</f>
        <v>45603</v>
      </c>
      <c r="N38" s="275">
        <f>VLOOKUP(H38,Auxiliar!$B$16:$E$24,4,0)</f>
        <v>0</v>
      </c>
      <c r="O38" s="275">
        <f t="shared" ca="1" si="9"/>
        <v>1</v>
      </c>
      <c r="P38" s="274">
        <f t="shared" ca="1" si="6"/>
        <v>-1</v>
      </c>
      <c r="Q38" s="274"/>
      <c r="R38" s="231" t="s">
        <v>1953</v>
      </c>
      <c r="S38" s="223">
        <v>4.0999999999999996</v>
      </c>
      <c r="T38" s="223">
        <f t="shared" si="7"/>
        <v>0.5</v>
      </c>
      <c r="U38" s="223">
        <f t="shared" si="10"/>
        <v>0</v>
      </c>
      <c r="V38" s="79"/>
      <c r="W38" s="79"/>
      <c r="X38" s="79"/>
      <c r="Y38" s="226"/>
      <c r="Z38" s="79"/>
      <c r="AA38" s="79"/>
      <c r="AB38" s="79"/>
      <c r="AC38" s="92"/>
      <c r="AD38" s="226"/>
      <c r="AE38" s="79"/>
      <c r="AF38" s="79"/>
      <c r="AG38" s="79">
        <v>0.5</v>
      </c>
      <c r="AH38" s="236"/>
      <c r="AI38" s="79"/>
      <c r="AJ38" s="79"/>
      <c r="AK38" s="79"/>
      <c r="AL38" s="79"/>
      <c r="AM38" s="79"/>
      <c r="AN38" s="79"/>
      <c r="AO38" s="79"/>
      <c r="AP38" s="236"/>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outlineLevel="1">
      <c r="A39" s="30" t="str">
        <f t="shared" si="5"/>
        <v>PROPERTY_ENERGY_CERTIFICATEACTUAL_VALUE_IND</v>
      </c>
      <c r="B39" s="142" t="s">
        <v>26</v>
      </c>
      <c r="C39" s="138" t="s">
        <v>54</v>
      </c>
      <c r="D39" s="252" t="s">
        <v>40</v>
      </c>
      <c r="E39" s="253" t="s">
        <v>123</v>
      </c>
      <c r="F39" s="253"/>
      <c r="G39" s="252" t="s">
        <v>49</v>
      </c>
      <c r="H39" s="254" t="str">
        <f>VLOOKUP(A39,'2. Status Detalhe Campos'!$A$7:$G$574,7,0)</f>
        <v>6. Em implementação (re-especificação)</v>
      </c>
      <c r="I39" s="228" t="s">
        <v>38</v>
      </c>
      <c r="J39" s="153">
        <v>45593</v>
      </c>
      <c r="K39" s="153">
        <v>45593</v>
      </c>
      <c r="L39" s="278">
        <f t="array" ref="L39">MIN(IF(V39:CH39&gt;0,$V$16:$CH$16))</f>
        <v>45603</v>
      </c>
      <c r="M39" s="277">
        <f t="array" ref="M39">MAX(IF(V39:CH39&gt;0,$V$16:$CH$16))</f>
        <v>45603</v>
      </c>
      <c r="N39" s="275">
        <f>VLOOKUP(H39,Auxiliar!$B$16:$E$24,4,0)</f>
        <v>0</v>
      </c>
      <c r="O39" s="275">
        <f t="shared" ca="1" si="9"/>
        <v>1</v>
      </c>
      <c r="P39" s="274">
        <f t="shared" ca="1" si="6"/>
        <v>-1</v>
      </c>
      <c r="Q39" s="274"/>
      <c r="R39" s="231" t="s">
        <v>1953</v>
      </c>
      <c r="S39" s="223">
        <v>4.0999999999999996</v>
      </c>
      <c r="T39" s="223">
        <f t="shared" si="7"/>
        <v>0.5</v>
      </c>
      <c r="U39" s="223">
        <f t="shared" si="10"/>
        <v>0</v>
      </c>
      <c r="V39" s="79"/>
      <c r="W39" s="79"/>
      <c r="X39" s="79"/>
      <c r="Y39" s="226"/>
      <c r="Z39" s="79"/>
      <c r="AA39" s="79"/>
      <c r="AB39" s="79"/>
      <c r="AC39" s="92"/>
      <c r="AD39" s="226"/>
      <c r="AE39" s="79"/>
      <c r="AF39" s="79"/>
      <c r="AG39" s="79">
        <v>0.5</v>
      </c>
      <c r="AH39" s="236"/>
      <c r="AI39" s="79"/>
      <c r="AJ39" s="79"/>
      <c r="AK39" s="79"/>
      <c r="AL39" s="79"/>
      <c r="AM39" s="79"/>
      <c r="AN39" s="79"/>
      <c r="AO39" s="79"/>
      <c r="AP39" s="236"/>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outlineLevel="1">
      <c r="A40" s="30" t="str">
        <f t="shared" si="5"/>
        <v>PROPERTY_ENERGY_CERTIFICATESOURCE_CODE</v>
      </c>
      <c r="B40" s="142" t="s">
        <v>26</v>
      </c>
      <c r="C40" s="138" t="s">
        <v>54</v>
      </c>
      <c r="D40" s="252" t="s">
        <v>40</v>
      </c>
      <c r="E40" s="253" t="s">
        <v>123</v>
      </c>
      <c r="F40" s="253"/>
      <c r="G40" s="252" t="s">
        <v>87</v>
      </c>
      <c r="H40" s="254" t="str">
        <f>VLOOKUP(A40,'2. Status Detalhe Campos'!$A$7:$G$574,7,0)</f>
        <v>6. Em implementação (re-especificação)</v>
      </c>
      <c r="I40" s="228" t="s">
        <v>38</v>
      </c>
      <c r="J40" s="153">
        <v>45593</v>
      </c>
      <c r="K40" s="153">
        <v>45601</v>
      </c>
      <c r="L40" s="278">
        <f t="array" ref="L40">MIN(IF(V40:CH40&gt;0,$V$16:$CH$16))</f>
        <v>45603</v>
      </c>
      <c r="M40" s="277">
        <f t="array" ref="M40">MAX(IF(V40:CH40&gt;0,$V$16:$CH$16))</f>
        <v>45603</v>
      </c>
      <c r="N40" s="275">
        <f>VLOOKUP(H40,Auxiliar!$B$16:$E$24,4,0)</f>
        <v>0</v>
      </c>
      <c r="O40" s="275">
        <f t="shared" ca="1" si="9"/>
        <v>1</v>
      </c>
      <c r="P40" s="274">
        <f t="shared" ca="1" si="6"/>
        <v>-1</v>
      </c>
      <c r="Q40" s="274"/>
      <c r="R40" s="231" t="s">
        <v>1953</v>
      </c>
      <c r="S40" s="223">
        <v>4.0999999999999996</v>
      </c>
      <c r="T40" s="223">
        <f t="shared" si="7"/>
        <v>0.5</v>
      </c>
      <c r="U40" s="223">
        <f t="shared" si="10"/>
        <v>0</v>
      </c>
      <c r="V40" s="79"/>
      <c r="W40" s="79"/>
      <c r="X40" s="79"/>
      <c r="Y40" s="226"/>
      <c r="Z40" s="79"/>
      <c r="AA40" s="79"/>
      <c r="AB40" s="79"/>
      <c r="AC40" s="92"/>
      <c r="AD40" s="226"/>
      <c r="AE40" s="289"/>
      <c r="AF40" s="79"/>
      <c r="AG40" s="79">
        <v>0.5</v>
      </c>
      <c r="AH40" s="236"/>
      <c r="AI40" s="79"/>
      <c r="AJ40" s="79"/>
      <c r="AK40" s="79"/>
      <c r="AL40" s="79"/>
      <c r="AM40" s="79"/>
      <c r="AN40" s="79"/>
      <c r="AO40" s="79"/>
      <c r="AP40" s="236"/>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outlineLevel="1">
      <c r="A41" s="30" t="str">
        <f t="shared" si="5"/>
        <v>PROPERTY_ENERGY_CERTIFICATECERTIFICATE_TYPE</v>
      </c>
      <c r="B41" s="142" t="s">
        <v>26</v>
      </c>
      <c r="C41" s="138" t="s">
        <v>54</v>
      </c>
      <c r="D41" s="252" t="s">
        <v>40</v>
      </c>
      <c r="E41" s="253" t="s">
        <v>123</v>
      </c>
      <c r="F41" s="253"/>
      <c r="G41" s="252" t="s">
        <v>136</v>
      </c>
      <c r="H41" s="254" t="str">
        <f>VLOOKUP(A41,'2. Status Detalhe Campos'!$A$7:$G$574,7,0)</f>
        <v>6. Em implementação (re-especificação)</v>
      </c>
      <c r="I41" s="228" t="s">
        <v>38</v>
      </c>
      <c r="J41" s="153">
        <v>45593</v>
      </c>
      <c r="K41" s="153">
        <v>45593</v>
      </c>
      <c r="L41" s="278">
        <f t="array" ref="L41">MIN(IF(V41:CH41&gt;0,$V$16:$CH$16))</f>
        <v>45603</v>
      </c>
      <c r="M41" s="277">
        <f t="array" ref="M41">MAX(IF(V41:CH41&gt;0,$V$16:$CH$16))</f>
        <v>45603</v>
      </c>
      <c r="N41" s="275">
        <f>VLOOKUP(H41,Auxiliar!$B$16:$E$24,4,0)</f>
        <v>0</v>
      </c>
      <c r="O41" s="275">
        <f t="shared" ca="1" si="9"/>
        <v>1</v>
      </c>
      <c r="P41" s="274">
        <f t="shared" ca="1" si="6"/>
        <v>-1</v>
      </c>
      <c r="Q41" s="274"/>
      <c r="R41" s="231" t="s">
        <v>1953</v>
      </c>
      <c r="S41" s="223">
        <v>4.0999999999999996</v>
      </c>
      <c r="T41" s="223">
        <f t="shared" si="7"/>
        <v>0.5</v>
      </c>
      <c r="U41" s="223">
        <f t="shared" si="10"/>
        <v>0</v>
      </c>
      <c r="V41" s="79"/>
      <c r="W41" s="79"/>
      <c r="X41" s="79"/>
      <c r="Y41" s="226"/>
      <c r="Z41" s="79"/>
      <c r="AA41" s="79"/>
      <c r="AB41" s="79"/>
      <c r="AC41" s="92"/>
      <c r="AD41" s="226"/>
      <c r="AE41" s="79"/>
      <c r="AF41" s="79"/>
      <c r="AG41" s="79">
        <v>0.5</v>
      </c>
      <c r="AH41" s="236"/>
      <c r="AI41" s="79"/>
      <c r="AJ41" s="79"/>
      <c r="AK41" s="79"/>
      <c r="AL41" s="79"/>
      <c r="AM41" s="79"/>
      <c r="AN41" s="79"/>
      <c r="AO41" s="79"/>
      <c r="AP41" s="236"/>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outlineLevel="1">
      <c r="A42" s="30" t="str">
        <f t="shared" si="5"/>
        <v>PROPERTY_ENERGY_CERTIFICATEENERGY_CONSUMPTION_VALUE_YEAR</v>
      </c>
      <c r="B42" s="142" t="s">
        <v>26</v>
      </c>
      <c r="C42" s="138" t="s">
        <v>54</v>
      </c>
      <c r="D42" s="252" t="s">
        <v>40</v>
      </c>
      <c r="E42" s="253" t="s">
        <v>123</v>
      </c>
      <c r="F42" s="253"/>
      <c r="G42" s="252" t="s">
        <v>51</v>
      </c>
      <c r="H42" s="254" t="str">
        <f>VLOOKUP(A42,'2. Status Detalhe Campos'!$A$7:$G$574,7,0)</f>
        <v>6. Em implementação (re-especificação)</v>
      </c>
      <c r="I42" s="228" t="s">
        <v>38</v>
      </c>
      <c r="J42" s="153">
        <v>45593</v>
      </c>
      <c r="K42" s="153">
        <v>45593</v>
      </c>
      <c r="L42" s="278">
        <f t="array" ref="L42">MIN(IF(V42:CH42&gt;0,$V$16:$CH$16))</f>
        <v>45600</v>
      </c>
      <c r="M42" s="277">
        <f t="array" ref="M42">MAX(IF(V42:CH42&gt;0,$V$16:$CH$16))</f>
        <v>45600</v>
      </c>
      <c r="N42" s="275">
        <f>VLOOKUP(H42,Auxiliar!$B$16:$E$24,4,0)</f>
        <v>0</v>
      </c>
      <c r="O42" s="275">
        <f t="shared" ca="1" si="9"/>
        <v>1</v>
      </c>
      <c r="P42" s="274">
        <f t="shared" ca="1" si="6"/>
        <v>-1</v>
      </c>
      <c r="Q42" s="274"/>
      <c r="R42" s="231" t="s">
        <v>1953</v>
      </c>
      <c r="S42" s="223">
        <v>4.0999999999999996</v>
      </c>
      <c r="T42" s="223">
        <f t="shared" si="7"/>
        <v>0.5</v>
      </c>
      <c r="U42" s="223">
        <f t="shared" si="10"/>
        <v>0</v>
      </c>
      <c r="V42" s="79"/>
      <c r="W42" s="79"/>
      <c r="X42" s="79"/>
      <c r="Y42" s="226"/>
      <c r="Z42" s="79"/>
      <c r="AA42" s="79"/>
      <c r="AB42" s="79"/>
      <c r="AC42" s="92"/>
      <c r="AD42" s="226">
        <v>0.5</v>
      </c>
      <c r="AE42" s="79"/>
      <c r="AF42" s="79"/>
      <c r="AG42" s="79"/>
      <c r="AH42" s="236"/>
      <c r="AI42" s="79"/>
      <c r="AJ42" s="79"/>
      <c r="AK42" s="79"/>
      <c r="AL42" s="79"/>
      <c r="AM42" s="79"/>
      <c r="AN42" s="79"/>
      <c r="AO42" s="79"/>
      <c r="AP42" s="236"/>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outlineLevel="1">
      <c r="A43" s="30" t="str">
        <f t="shared" si="5"/>
        <v>PROPERTY_ENERGY_CERTIFICATECARBON_EMISSION_VALUE_YEAR</v>
      </c>
      <c r="B43" s="142" t="s">
        <v>26</v>
      </c>
      <c r="C43" s="138" t="s">
        <v>54</v>
      </c>
      <c r="D43" s="252" t="s">
        <v>40</v>
      </c>
      <c r="E43" s="253" t="s">
        <v>123</v>
      </c>
      <c r="F43" s="253"/>
      <c r="G43" s="252" t="s">
        <v>52</v>
      </c>
      <c r="H43" s="254" t="str">
        <f>VLOOKUP(A43,'2. Status Detalhe Campos'!$A$7:$G$574,7,0)</f>
        <v>6. Em implementação (re-especificação)</v>
      </c>
      <c r="I43" s="228" t="s">
        <v>38</v>
      </c>
      <c r="J43" s="153">
        <v>45593</v>
      </c>
      <c r="K43" s="153">
        <v>45593</v>
      </c>
      <c r="L43" s="278">
        <f t="array" ref="L43">MIN(IF(V43:CH43&gt;0,$V$16:$CH$16))</f>
        <v>45600</v>
      </c>
      <c r="M43" s="277">
        <f t="array" ref="M43">MAX(IF(V43:CH43&gt;0,$V$16:$CH$16))</f>
        <v>45600</v>
      </c>
      <c r="N43" s="275">
        <f>VLOOKUP(H43,Auxiliar!$B$16:$E$24,4,0)</f>
        <v>0</v>
      </c>
      <c r="O43" s="275">
        <f t="shared" ca="1" si="9"/>
        <v>1</v>
      </c>
      <c r="P43" s="274">
        <f t="shared" ca="1" si="6"/>
        <v>-1</v>
      </c>
      <c r="Q43" s="274"/>
      <c r="R43" s="231" t="s">
        <v>1953</v>
      </c>
      <c r="S43" s="223">
        <v>4.0999999999999996</v>
      </c>
      <c r="T43" s="223">
        <f t="shared" si="7"/>
        <v>0.5</v>
      </c>
      <c r="U43" s="223">
        <f t="shared" si="10"/>
        <v>0</v>
      </c>
      <c r="V43" s="79"/>
      <c r="W43" s="79"/>
      <c r="X43" s="79"/>
      <c r="Y43" s="226"/>
      <c r="Z43" s="79"/>
      <c r="AA43" s="79"/>
      <c r="AB43" s="79"/>
      <c r="AC43" s="92"/>
      <c r="AD43" s="226">
        <v>0.5</v>
      </c>
      <c r="AE43" s="79"/>
      <c r="AF43" s="79"/>
      <c r="AG43" s="79"/>
      <c r="AH43" s="236"/>
      <c r="AI43" s="79"/>
      <c r="AJ43" s="79"/>
      <c r="AK43" s="79"/>
      <c r="AL43" s="79"/>
      <c r="AM43" s="79"/>
      <c r="AN43" s="79"/>
      <c r="AO43" s="79"/>
      <c r="AP43" s="236"/>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outlineLevel="1">
      <c r="A44" s="30" t="str">
        <f t="shared" si="5"/>
        <v>PROPERTY_ENERGY_CERTIFICATEREN_ENERGY_PRODUCED_VALUE</v>
      </c>
      <c r="B44" s="142" t="s">
        <v>26</v>
      </c>
      <c r="C44" s="138" t="s">
        <v>54</v>
      </c>
      <c r="D44" s="252" t="s">
        <v>40</v>
      </c>
      <c r="E44" s="253" t="s">
        <v>123</v>
      </c>
      <c r="F44" s="253"/>
      <c r="G44" s="252" t="s">
        <v>160</v>
      </c>
      <c r="H44" s="254" t="str">
        <f>VLOOKUP(A44,'2. Status Detalhe Campos'!$A$7:$G$574,7,0)</f>
        <v>6. Em implementação (re-especificação)</v>
      </c>
      <c r="I44" s="228" t="s">
        <v>38</v>
      </c>
      <c r="J44" s="153">
        <v>45593</v>
      </c>
      <c r="K44" s="153">
        <v>45593</v>
      </c>
      <c r="L44" s="278">
        <f t="array" ref="L44">MIN(IF(V44:CH44&gt;0,$V$16:$CH$16))</f>
        <v>45600</v>
      </c>
      <c r="M44" s="277">
        <f t="array" ref="M44">MAX(IF(V44:CH44&gt;0,$V$16:$CH$16))</f>
        <v>45600</v>
      </c>
      <c r="N44" s="275">
        <f>VLOOKUP(H44,Auxiliar!$B$16:$E$24,4,0)</f>
        <v>0</v>
      </c>
      <c r="O44" s="275">
        <f t="shared" ca="1" si="9"/>
        <v>1</v>
      </c>
      <c r="P44" s="274">
        <f t="shared" ca="1" si="6"/>
        <v>-1</v>
      </c>
      <c r="Q44" s="274"/>
      <c r="R44" s="231" t="s">
        <v>1953</v>
      </c>
      <c r="S44" s="223">
        <v>4.0999999999999996</v>
      </c>
      <c r="T44" s="223">
        <f t="shared" si="7"/>
        <v>0.5</v>
      </c>
      <c r="U44" s="223">
        <f t="shared" si="10"/>
        <v>0</v>
      </c>
      <c r="V44" s="79"/>
      <c r="W44" s="79"/>
      <c r="X44" s="79"/>
      <c r="Y44" s="226"/>
      <c r="Z44" s="79"/>
      <c r="AA44" s="79"/>
      <c r="AB44" s="79"/>
      <c r="AC44" s="92"/>
      <c r="AD44" s="226">
        <v>0.5</v>
      </c>
      <c r="AE44" s="79"/>
      <c r="AF44" s="79"/>
      <c r="AG44" s="79"/>
      <c r="AH44" s="236"/>
      <c r="AI44" s="79"/>
      <c r="AJ44" s="79"/>
      <c r="AK44" s="79"/>
      <c r="AL44" s="79"/>
      <c r="AM44" s="79"/>
      <c r="AN44" s="79"/>
      <c r="AO44" s="79"/>
      <c r="AP44" s="236"/>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outlineLevel="1">
      <c r="A45" s="30" t="str">
        <f t="shared" si="5"/>
        <v>PROPERTY_ENERGY_CERTIFICATEPRIMARY_ENERGY_REQ_VALUE</v>
      </c>
      <c r="B45" s="142" t="s">
        <v>26</v>
      </c>
      <c r="C45" s="138" t="s">
        <v>54</v>
      </c>
      <c r="D45" s="252" t="s">
        <v>40</v>
      </c>
      <c r="E45" s="253" t="s">
        <v>123</v>
      </c>
      <c r="F45" s="253"/>
      <c r="G45" s="252" t="s">
        <v>164</v>
      </c>
      <c r="H45" s="254" t="str">
        <f>VLOOKUP(A45,'2. Status Detalhe Campos'!$A$7:$G$574,7,0)</f>
        <v>6. Em implementação (re-especificação)</v>
      </c>
      <c r="I45" s="228" t="s">
        <v>38</v>
      </c>
      <c r="J45" s="153">
        <v>45593</v>
      </c>
      <c r="K45" s="153">
        <v>45593</v>
      </c>
      <c r="L45" s="278">
        <f t="array" ref="L45">MIN(IF(V45:CH45&gt;0,$V$16:$CH$16))</f>
        <v>45600</v>
      </c>
      <c r="M45" s="277">
        <f t="array" ref="M45">MAX(IF(V45:CH45&gt;0,$V$16:$CH$16))</f>
        <v>45600</v>
      </c>
      <c r="N45" s="275">
        <f>VLOOKUP(H45,Auxiliar!$B$16:$E$24,4,0)</f>
        <v>0</v>
      </c>
      <c r="O45" s="275">
        <f t="shared" ca="1" si="9"/>
        <v>1</v>
      </c>
      <c r="P45" s="274">
        <f t="shared" ca="1" si="6"/>
        <v>-1</v>
      </c>
      <c r="Q45" s="274"/>
      <c r="R45" s="231" t="s">
        <v>1953</v>
      </c>
      <c r="S45" s="223">
        <v>4.0999999999999996</v>
      </c>
      <c r="T45" s="223">
        <f t="shared" si="7"/>
        <v>0.5</v>
      </c>
      <c r="U45" s="223">
        <f t="shared" si="10"/>
        <v>0</v>
      </c>
      <c r="V45" s="79"/>
      <c r="W45" s="79"/>
      <c r="X45" s="79"/>
      <c r="Y45" s="226"/>
      <c r="Z45" s="79"/>
      <c r="AA45" s="79"/>
      <c r="AB45" s="79"/>
      <c r="AC45" s="92"/>
      <c r="AD45" s="226">
        <v>0.5</v>
      </c>
      <c r="AE45" s="79"/>
      <c r="AF45" s="79"/>
      <c r="AG45" s="79"/>
      <c r="AH45" s="236"/>
      <c r="AI45" s="79"/>
      <c r="AJ45" s="79"/>
      <c r="AK45" s="79"/>
      <c r="AL45" s="79"/>
      <c r="AM45" s="79"/>
      <c r="AN45" s="79"/>
      <c r="AO45" s="79"/>
      <c r="AP45" s="236"/>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outlineLevel="1">
      <c r="A46" s="30" t="str">
        <f t="shared" si="5"/>
        <v>PROPERTY_ENERGY_CERTIFICATENET_FLOOR_AREA</v>
      </c>
      <c r="B46" s="142" t="s">
        <v>26</v>
      </c>
      <c r="C46" s="138" t="s">
        <v>54</v>
      </c>
      <c r="D46" s="252" t="s">
        <v>40</v>
      </c>
      <c r="E46" s="253" t="s">
        <v>123</v>
      </c>
      <c r="F46" s="253"/>
      <c r="G46" s="252" t="s">
        <v>97</v>
      </c>
      <c r="H46" s="254" t="str">
        <f>VLOOKUP(A46,'2. Status Detalhe Campos'!$A$7:$G$574,7,0)</f>
        <v>6. Em implementação (re-especificação)</v>
      </c>
      <c r="I46" s="228" t="s">
        <v>38</v>
      </c>
      <c r="J46" s="153">
        <v>45593</v>
      </c>
      <c r="K46" s="153">
        <v>45593</v>
      </c>
      <c r="L46" s="278">
        <f t="array" ref="L46">MIN(IF(V46:CH46&gt;0,$V$16:$CH$16))</f>
        <v>45607</v>
      </c>
      <c r="M46" s="277">
        <f t="array" ref="M46">MAX(IF(V46:CH46&gt;0,$V$16:$CH$16))</f>
        <v>45607</v>
      </c>
      <c r="N46" s="275">
        <f>VLOOKUP(H46,Auxiliar!$B$16:$E$24,4,0)</f>
        <v>0</v>
      </c>
      <c r="O46" s="275">
        <f t="shared" ca="1" si="9"/>
        <v>1</v>
      </c>
      <c r="P46" s="274">
        <f t="shared" ca="1" si="6"/>
        <v>-1</v>
      </c>
      <c r="Q46" s="274"/>
      <c r="R46" s="231" t="s">
        <v>1953</v>
      </c>
      <c r="S46" s="223">
        <v>4.0999999999999996</v>
      </c>
      <c r="T46" s="223">
        <f t="shared" si="7"/>
        <v>0.5</v>
      </c>
      <c r="U46" s="223">
        <f t="shared" si="10"/>
        <v>0</v>
      </c>
      <c r="V46" s="79"/>
      <c r="W46" s="79"/>
      <c r="X46" s="79"/>
      <c r="Y46" s="226"/>
      <c r="Z46" s="79"/>
      <c r="AA46" s="79"/>
      <c r="AB46" s="79"/>
      <c r="AC46" s="92"/>
      <c r="AD46" s="226"/>
      <c r="AE46" s="79"/>
      <c r="AF46" s="79"/>
      <c r="AG46" s="79"/>
      <c r="AH46" s="236"/>
      <c r="AI46" s="79">
        <v>0.5</v>
      </c>
      <c r="AJ46" s="79"/>
      <c r="AK46" s="79"/>
      <c r="AL46" s="79"/>
      <c r="AM46" s="79"/>
      <c r="AN46" s="79"/>
      <c r="AO46" s="79"/>
      <c r="AP46" s="236"/>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outlineLevel="1">
      <c r="A47" s="30" t="str">
        <f t="shared" si="5"/>
        <v>PROPERTY_ENERGY_CERTIFICATECADASTRAL_REGISTER_CODE</v>
      </c>
      <c r="B47" s="142" t="s">
        <v>26</v>
      </c>
      <c r="C47" s="138" t="s">
        <v>54</v>
      </c>
      <c r="D47" s="252" t="s">
        <v>40</v>
      </c>
      <c r="E47" s="253" t="s">
        <v>123</v>
      </c>
      <c r="F47" s="253"/>
      <c r="G47" s="252" t="s">
        <v>98</v>
      </c>
      <c r="H47" s="254" t="str">
        <f>VLOOKUP(A47,'2. Status Detalhe Campos'!$A$7:$G$574,7,0)</f>
        <v>6. Em implementação (re-especificação)</v>
      </c>
      <c r="I47" s="228" t="s">
        <v>38</v>
      </c>
      <c r="J47" s="153">
        <v>45593</v>
      </c>
      <c r="K47" s="153">
        <v>45593</v>
      </c>
      <c r="L47" s="278">
        <f t="array" ref="L47">MIN(IF(V47:CH47&gt;0,$V$16:$CH$16))</f>
        <v>45607</v>
      </c>
      <c r="M47" s="277">
        <f t="array" ref="M47">MAX(IF(V47:CH47&gt;0,$V$16:$CH$16))</f>
        <v>45607</v>
      </c>
      <c r="N47" s="275">
        <f>VLOOKUP(H47,Auxiliar!$B$16:$E$24,4,0)</f>
        <v>0</v>
      </c>
      <c r="O47" s="275">
        <f t="shared" ca="1" si="9"/>
        <v>1</v>
      </c>
      <c r="P47" s="274">
        <f t="shared" ca="1" si="6"/>
        <v>-1</v>
      </c>
      <c r="Q47" s="274"/>
      <c r="R47" s="231" t="s">
        <v>1953</v>
      </c>
      <c r="S47" s="223">
        <v>4.0999999999999996</v>
      </c>
      <c r="T47" s="223">
        <f t="shared" si="7"/>
        <v>0.5</v>
      </c>
      <c r="U47" s="223">
        <f t="shared" si="10"/>
        <v>0</v>
      </c>
      <c r="V47" s="79"/>
      <c r="W47" s="79"/>
      <c r="X47" s="79"/>
      <c r="Y47" s="226"/>
      <c r="Z47" s="79"/>
      <c r="AA47" s="79"/>
      <c r="AB47" s="79"/>
      <c r="AC47" s="92"/>
      <c r="AD47" s="226"/>
      <c r="AE47" s="79"/>
      <c r="AF47" s="79"/>
      <c r="AG47" s="79"/>
      <c r="AH47" s="236"/>
      <c r="AI47" s="79">
        <v>0.5</v>
      </c>
      <c r="AJ47" s="79"/>
      <c r="AK47" s="79"/>
      <c r="AL47" s="79"/>
      <c r="AM47" s="79"/>
      <c r="AN47" s="79"/>
      <c r="AO47" s="79"/>
      <c r="AP47" s="236"/>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outlineLevel="1">
      <c r="A48" s="30" t="str">
        <f t="shared" si="5"/>
        <v>PROPERTY_ENERGY_CERTIFICATEDISTRICT_MUNICIP_PARISH_CODE</v>
      </c>
      <c r="B48" s="142" t="s">
        <v>26</v>
      </c>
      <c r="C48" s="138" t="s">
        <v>54</v>
      </c>
      <c r="D48" s="252" t="s">
        <v>40</v>
      </c>
      <c r="E48" s="253" t="s">
        <v>123</v>
      </c>
      <c r="F48" s="253"/>
      <c r="G48" s="252" t="s">
        <v>101</v>
      </c>
      <c r="H48" s="254" t="str">
        <f>VLOOKUP(A48,'2. Status Detalhe Campos'!$A$7:$G$574,7,0)</f>
        <v>6. Em implementação (re-especificação)</v>
      </c>
      <c r="I48" s="228" t="s">
        <v>38</v>
      </c>
      <c r="J48" s="153">
        <v>45593</v>
      </c>
      <c r="K48" s="153">
        <v>45593</v>
      </c>
      <c r="L48" s="278">
        <f t="array" ref="L48">MIN(IF(V48:CH48&gt;0,$V$16:$CH$16))</f>
        <v>45607</v>
      </c>
      <c r="M48" s="277">
        <f t="array" ref="M48">MAX(IF(V48:CH48&gt;0,$V$16:$CH$16))</f>
        <v>45607</v>
      </c>
      <c r="N48" s="275">
        <f>VLOOKUP(H48,Auxiliar!$B$16:$E$24,4,0)</f>
        <v>0</v>
      </c>
      <c r="O48" s="275">
        <f t="shared" ca="1" si="9"/>
        <v>1</v>
      </c>
      <c r="P48" s="274">
        <f t="shared" ca="1" si="6"/>
        <v>-1</v>
      </c>
      <c r="Q48" s="274"/>
      <c r="R48" s="231" t="s">
        <v>1953</v>
      </c>
      <c r="S48" s="223">
        <v>4.0999999999999996</v>
      </c>
      <c r="T48" s="223">
        <f t="shared" si="7"/>
        <v>0.5</v>
      </c>
      <c r="U48" s="223">
        <f t="shared" si="10"/>
        <v>0</v>
      </c>
      <c r="V48" s="79"/>
      <c r="W48" s="79"/>
      <c r="X48" s="79"/>
      <c r="Y48" s="226"/>
      <c r="Z48" s="79"/>
      <c r="AA48" s="79"/>
      <c r="AB48" s="79"/>
      <c r="AC48" s="92"/>
      <c r="AD48" s="226"/>
      <c r="AE48" s="79"/>
      <c r="AF48" s="79"/>
      <c r="AG48" s="79"/>
      <c r="AH48" s="236"/>
      <c r="AI48" s="79">
        <v>0.5</v>
      </c>
      <c r="AJ48" s="79"/>
      <c r="AK48" s="79"/>
      <c r="AL48" s="79"/>
      <c r="AM48" s="79"/>
      <c r="AN48" s="79"/>
      <c r="AO48" s="79"/>
      <c r="AP48" s="236"/>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outlineLevel="1">
      <c r="A49" s="30" t="str">
        <f t="shared" si="5"/>
        <v>PROPERTY_ENERGY_CERTIFICATEPROPERTY_PURPOSE_CODE</v>
      </c>
      <c r="B49" s="142" t="s">
        <v>26</v>
      </c>
      <c r="C49" s="138" t="s">
        <v>54</v>
      </c>
      <c r="D49" s="252" t="s">
        <v>40</v>
      </c>
      <c r="E49" s="253" t="s">
        <v>123</v>
      </c>
      <c r="F49" s="253"/>
      <c r="G49" s="252" t="s">
        <v>102</v>
      </c>
      <c r="H49" s="254" t="str">
        <f>VLOOKUP(A49,'2. Status Detalhe Campos'!$A$7:$G$574,7,0)</f>
        <v>6. Em implementação (re-especificação)</v>
      </c>
      <c r="I49" s="228" t="s">
        <v>38</v>
      </c>
      <c r="J49" s="153">
        <v>45593</v>
      </c>
      <c r="K49" s="153">
        <v>45593</v>
      </c>
      <c r="L49" s="278">
        <f t="array" ref="L49">MIN(IF(V49:CH49&gt;0,$V$16:$CH$16))</f>
        <v>45607</v>
      </c>
      <c r="M49" s="277">
        <f t="array" ref="M49">MAX(IF(V49:CH49&gt;0,$V$16:$CH$16))</f>
        <v>45607</v>
      </c>
      <c r="N49" s="275">
        <f>VLOOKUP(H49,Auxiliar!$B$16:$E$24,4,0)</f>
        <v>0</v>
      </c>
      <c r="O49" s="275">
        <f t="shared" ca="1" si="9"/>
        <v>1</v>
      </c>
      <c r="P49" s="274">
        <f t="shared" ca="1" si="6"/>
        <v>-1</v>
      </c>
      <c r="Q49" s="274"/>
      <c r="R49" s="231" t="s">
        <v>1953</v>
      </c>
      <c r="S49" s="223">
        <v>4.0999999999999996</v>
      </c>
      <c r="T49" s="223">
        <f t="shared" si="7"/>
        <v>0.5</v>
      </c>
      <c r="U49" s="223">
        <f t="shared" si="10"/>
        <v>0</v>
      </c>
      <c r="V49" s="79"/>
      <c r="W49" s="79"/>
      <c r="X49" s="79"/>
      <c r="Y49" s="226"/>
      <c r="Z49" s="79"/>
      <c r="AA49" s="79"/>
      <c r="AB49" s="79"/>
      <c r="AC49" s="92"/>
      <c r="AD49" s="226"/>
      <c r="AE49" s="79"/>
      <c r="AF49" s="79"/>
      <c r="AG49" s="79"/>
      <c r="AH49" s="236"/>
      <c r="AI49" s="79">
        <v>0.5</v>
      </c>
      <c r="AJ49" s="79"/>
      <c r="AK49" s="79"/>
      <c r="AL49" s="79"/>
      <c r="AM49" s="79"/>
      <c r="AN49" s="79"/>
      <c r="AO49" s="79"/>
      <c r="AP49" s="236"/>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outlineLevel="1">
      <c r="A50" s="30" t="str">
        <f t="shared" si="5"/>
        <v>PROPERTY_ENERGY_CERTIFICATEADDRESS_CODE</v>
      </c>
      <c r="B50" s="142" t="s">
        <v>26</v>
      </c>
      <c r="C50" s="138" t="s">
        <v>54</v>
      </c>
      <c r="D50" s="252" t="s">
        <v>40</v>
      </c>
      <c r="E50" s="253" t="s">
        <v>123</v>
      </c>
      <c r="F50" s="253"/>
      <c r="G50" s="252" t="s">
        <v>104</v>
      </c>
      <c r="H50" s="254" t="str">
        <f>VLOOKUP(A50,'2. Status Detalhe Campos'!$A$7:$G$574,7,0)</f>
        <v>6. Em implementação (re-especificação)</v>
      </c>
      <c r="I50" s="228" t="s">
        <v>38</v>
      </c>
      <c r="J50" s="153">
        <v>45593</v>
      </c>
      <c r="K50" s="153">
        <v>45593</v>
      </c>
      <c r="L50" s="278">
        <f t="array" ref="L50">MIN(IF(V50:CH50&gt;0,$V$16:$CH$16))</f>
        <v>45608</v>
      </c>
      <c r="M50" s="277">
        <f t="array" ref="M50">MAX(IF(V50:CH50&gt;0,$V$16:$CH$16))</f>
        <v>45608</v>
      </c>
      <c r="N50" s="275">
        <f>VLOOKUP(H50,Auxiliar!$B$16:$E$24,4,0)</f>
        <v>0</v>
      </c>
      <c r="O50" s="275">
        <f t="shared" ca="1" si="9"/>
        <v>1</v>
      </c>
      <c r="P50" s="274">
        <f t="shared" ca="1" si="6"/>
        <v>-1</v>
      </c>
      <c r="Q50" s="274"/>
      <c r="R50" s="231" t="s">
        <v>1953</v>
      </c>
      <c r="S50" s="223">
        <v>4.0999999999999996</v>
      </c>
      <c r="T50" s="223">
        <f t="shared" si="7"/>
        <v>0.5</v>
      </c>
      <c r="U50" s="223">
        <f t="shared" si="10"/>
        <v>0</v>
      </c>
      <c r="V50" s="79"/>
      <c r="W50" s="79"/>
      <c r="X50" s="79"/>
      <c r="Y50" s="226"/>
      <c r="Z50" s="79"/>
      <c r="AA50" s="79"/>
      <c r="AB50" s="79"/>
      <c r="AC50" s="92"/>
      <c r="AD50" s="226"/>
      <c r="AE50" s="79"/>
      <c r="AF50" s="79"/>
      <c r="AG50" s="79"/>
      <c r="AH50" s="236"/>
      <c r="AI50" s="79"/>
      <c r="AJ50" s="79">
        <v>0.5</v>
      </c>
      <c r="AK50" s="79"/>
      <c r="AL50" s="79"/>
      <c r="AM50" s="79"/>
      <c r="AN50" s="79"/>
      <c r="AO50" s="79"/>
      <c r="AP50" s="236"/>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outlineLevel="1">
      <c r="A51" s="30" t="str">
        <f t="shared" si="5"/>
        <v>PROPERTY_ENERGY_CERTIFICATEFLOOR_NUMBER</v>
      </c>
      <c r="B51" s="142" t="s">
        <v>26</v>
      </c>
      <c r="C51" s="138" t="s">
        <v>54</v>
      </c>
      <c r="D51" s="252" t="s">
        <v>40</v>
      </c>
      <c r="E51" s="253" t="s">
        <v>123</v>
      </c>
      <c r="F51" s="253"/>
      <c r="G51" s="252" t="s">
        <v>111</v>
      </c>
      <c r="H51" s="254" t="str">
        <f>VLOOKUP(A51,'2. Status Detalhe Campos'!$A$7:$G$574,7,0)</f>
        <v>6. Em implementação (re-especificação)</v>
      </c>
      <c r="I51" s="228" t="s">
        <v>38</v>
      </c>
      <c r="J51" s="153">
        <v>45593</v>
      </c>
      <c r="K51" s="153">
        <v>45593</v>
      </c>
      <c r="L51" s="278">
        <f t="array" ref="L51">MIN(IF(V51:CH51&gt;0,$V$16:$CH$16))</f>
        <v>45608</v>
      </c>
      <c r="M51" s="277">
        <f t="array" ref="M51">MAX(IF(V51:CH51&gt;0,$V$16:$CH$16))</f>
        <v>45608</v>
      </c>
      <c r="N51" s="275">
        <f>VLOOKUP(H51,Auxiliar!$B$16:$E$24,4,0)</f>
        <v>0</v>
      </c>
      <c r="O51" s="275">
        <f t="shared" ca="1" si="9"/>
        <v>1</v>
      </c>
      <c r="P51" s="274">
        <f t="shared" ca="1" si="6"/>
        <v>-1</v>
      </c>
      <c r="Q51" s="274"/>
      <c r="R51" s="231" t="s">
        <v>1953</v>
      </c>
      <c r="S51" s="223">
        <v>4.0999999999999996</v>
      </c>
      <c r="T51" s="223">
        <f t="shared" si="7"/>
        <v>0.5</v>
      </c>
      <c r="U51" s="223">
        <f t="shared" si="10"/>
        <v>0</v>
      </c>
      <c r="V51" s="79"/>
      <c r="W51" s="79"/>
      <c r="X51" s="79"/>
      <c r="Y51" s="226"/>
      <c r="Z51" s="79"/>
      <c r="AA51" s="79"/>
      <c r="AB51" s="79"/>
      <c r="AC51" s="92"/>
      <c r="AD51" s="226"/>
      <c r="AE51" s="79"/>
      <c r="AF51" s="79"/>
      <c r="AG51" s="79"/>
      <c r="AH51" s="236"/>
      <c r="AI51" s="79"/>
      <c r="AJ51" s="79">
        <v>0.5</v>
      </c>
      <c r="AK51" s="79"/>
      <c r="AL51" s="79"/>
      <c r="AM51" s="79"/>
      <c r="AN51" s="79"/>
      <c r="AO51" s="79"/>
      <c r="AP51" s="236"/>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outlineLevel="1">
      <c r="A52" s="30" t="str">
        <f t="shared" si="5"/>
        <v>PROPERTY_ENERGY_CERTIFICATELOCALITY</v>
      </c>
      <c r="B52" s="142" t="s">
        <v>26</v>
      </c>
      <c r="C52" s="138" t="s">
        <v>54</v>
      </c>
      <c r="D52" s="252" t="s">
        <v>40</v>
      </c>
      <c r="E52" s="253" t="s">
        <v>123</v>
      </c>
      <c r="F52" s="253"/>
      <c r="G52" s="252" t="s">
        <v>112</v>
      </c>
      <c r="H52" s="254" t="str">
        <f>VLOOKUP(A52,'2. Status Detalhe Campos'!$A$7:$G$574,7,0)</f>
        <v>6. Em implementação (re-especificação)</v>
      </c>
      <c r="I52" s="228" t="s">
        <v>38</v>
      </c>
      <c r="J52" s="153">
        <v>45593</v>
      </c>
      <c r="K52" s="153">
        <v>45593</v>
      </c>
      <c r="L52" s="278">
        <f t="array" ref="L52">MIN(IF(V52:CH52&gt;0,$V$16:$CH$16))</f>
        <v>45608</v>
      </c>
      <c r="M52" s="277">
        <f t="array" ref="M52">MAX(IF(V52:CH52&gt;0,$V$16:$CH$16))</f>
        <v>45608</v>
      </c>
      <c r="N52" s="275">
        <f>VLOOKUP(H52,Auxiliar!$B$16:$E$24,4,0)</f>
        <v>0</v>
      </c>
      <c r="O52" s="275">
        <f t="shared" ca="1" si="9"/>
        <v>1</v>
      </c>
      <c r="P52" s="274">
        <f t="shared" ca="1" si="6"/>
        <v>-1</v>
      </c>
      <c r="Q52" s="274"/>
      <c r="R52" s="231" t="s">
        <v>1953</v>
      </c>
      <c r="S52" s="223">
        <v>4.0999999999999996</v>
      </c>
      <c r="T52" s="223">
        <f t="shared" si="7"/>
        <v>0.5</v>
      </c>
      <c r="U52" s="223">
        <f t="shared" si="10"/>
        <v>0</v>
      </c>
      <c r="V52" s="79"/>
      <c r="W52" s="79"/>
      <c r="X52" s="79"/>
      <c r="Y52" s="226"/>
      <c r="Z52" s="79"/>
      <c r="AA52" s="79"/>
      <c r="AB52" s="79"/>
      <c r="AC52" s="92"/>
      <c r="AD52" s="226"/>
      <c r="AE52" s="79"/>
      <c r="AF52" s="79"/>
      <c r="AG52" s="79"/>
      <c r="AH52" s="236"/>
      <c r="AI52" s="79"/>
      <c r="AJ52" s="79">
        <v>0.5</v>
      </c>
      <c r="AK52" s="79"/>
      <c r="AL52" s="79"/>
      <c r="AM52" s="79"/>
      <c r="AN52" s="79"/>
      <c r="AO52" s="79"/>
      <c r="AP52" s="236"/>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 r="A53" s="30"/>
      <c r="B53" s="142" t="s">
        <v>26</v>
      </c>
      <c r="C53" s="138" t="s">
        <v>181</v>
      </c>
      <c r="D53" s="134"/>
      <c r="E53" s="259" t="s">
        <v>182</v>
      </c>
      <c r="F53" s="259" t="s">
        <v>1981</v>
      </c>
      <c r="G53" s="260">
        <f>COUNTA(G54:G69)</f>
        <v>16</v>
      </c>
      <c r="H53" s="136"/>
      <c r="I53" s="228" t="s">
        <v>38</v>
      </c>
      <c r="J53" s="257">
        <f>MIN(J54:J69)</f>
        <v>45603</v>
      </c>
      <c r="K53" s="257"/>
      <c r="L53" s="257">
        <f>MIN(L54:L69)</f>
        <v>45609</v>
      </c>
      <c r="M53" s="257">
        <f>MIN(M54:M69)</f>
        <v>45609</v>
      </c>
      <c r="N53" s="279">
        <f>SUMPRODUCT(N54:N69,T54:T69)/SUM(T54:T69)</f>
        <v>0.953125</v>
      </c>
      <c r="O53" s="279">
        <f ca="1">SUMPRODUCT(O54:O69,T54:T69)/SUM(T54:T69)</f>
        <v>1</v>
      </c>
      <c r="P53" s="274">
        <f t="shared" ca="1" si="6"/>
        <v>-4.6875E-2</v>
      </c>
      <c r="Q53" s="283" t="s">
        <v>2024</v>
      </c>
      <c r="R53" s="229"/>
      <c r="S53" s="223"/>
      <c r="T53" s="223"/>
      <c r="U53" s="223"/>
      <c r="V53" s="79"/>
      <c r="W53" s="79"/>
      <c r="X53" s="79"/>
      <c r="Y53" s="79"/>
      <c r="Z53" s="79"/>
      <c r="AA53" s="79"/>
      <c r="AB53" s="79"/>
      <c r="AC53" s="92"/>
      <c r="AD53" s="79"/>
      <c r="AE53" s="79"/>
      <c r="AF53" s="79"/>
      <c r="AG53" s="230"/>
      <c r="AH53" s="226"/>
      <c r="AI53" s="79"/>
      <c r="AJ53" s="79"/>
      <c r="AK53" s="79"/>
      <c r="AL53" s="79"/>
      <c r="AM53" s="264"/>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outlineLevel="1">
      <c r="A54" s="30" t="str">
        <f t="shared" si="5"/>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8">
        <f t="array" ref="L54">MIN(IF(V54:CH54&gt;0,$V$16:$CH$16))</f>
        <v>45609</v>
      </c>
      <c r="M54" s="277">
        <f t="array" ref="M54">MAX(IF(V54:CH54&gt;0,$V$16:$CH$16))</f>
        <v>45609</v>
      </c>
      <c r="N54" s="275">
        <f>VLOOKUP(H54,Auxiliar!$B$16:$E$24,4,0)</f>
        <v>1</v>
      </c>
      <c r="O54" s="275">
        <f t="shared" ref="O54:O69" ca="1" si="11">IF(TODAY()&lt;=L54,0,MIN((TODAY()-L54)/(M54-L54+1),100%))</f>
        <v>1</v>
      </c>
      <c r="P54" s="274">
        <f t="shared" ca="1" si="6"/>
        <v>0</v>
      </c>
      <c r="Q54" s="283" t="s">
        <v>38</v>
      </c>
      <c r="R54" s="229"/>
      <c r="S54" s="223">
        <v>0.6</v>
      </c>
      <c r="T54" s="223">
        <f t="shared" si="7"/>
        <v>0.1</v>
      </c>
      <c r="U54" s="223">
        <f t="shared" ref="U54:U69" si="12">SUM(V54:CH54)-T54</f>
        <v>0</v>
      </c>
      <c r="V54" s="79"/>
      <c r="W54" s="79"/>
      <c r="X54" s="79"/>
      <c r="Y54" s="79"/>
      <c r="Z54" s="79"/>
      <c r="AA54" s="79"/>
      <c r="AB54" s="79"/>
      <c r="AC54" s="92"/>
      <c r="AD54" s="79"/>
      <c r="AE54" s="79"/>
      <c r="AF54" s="79"/>
      <c r="AG54" s="230"/>
      <c r="AH54" s="226"/>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outlineLevel="1">
      <c r="A55" s="30" t="str">
        <f t="shared" si="5"/>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8">
        <f t="array" ref="L55">MIN(IF(V55:CH55&gt;0,$V$16:$CH$16))</f>
        <v>45609</v>
      </c>
      <c r="M55" s="277">
        <f t="array" ref="M55">MAX(IF(V55:CH55&gt;0,$V$16:$CH$16))</f>
        <v>45609</v>
      </c>
      <c r="N55" s="275">
        <f>VLOOKUP(H55,Auxiliar!$B$16:$E$24,4,0)</f>
        <v>1</v>
      </c>
      <c r="O55" s="275">
        <f t="shared" ca="1" si="11"/>
        <v>1</v>
      </c>
      <c r="P55" s="274">
        <f t="shared" ca="1" si="6"/>
        <v>0</v>
      </c>
      <c r="Q55" s="283" t="s">
        <v>38</v>
      </c>
      <c r="R55" s="229"/>
      <c r="S55" s="223">
        <v>0.6</v>
      </c>
      <c r="T55" s="223">
        <f t="shared" si="7"/>
        <v>0.1</v>
      </c>
      <c r="U55" s="223">
        <f t="shared" si="12"/>
        <v>0</v>
      </c>
      <c r="V55" s="79"/>
      <c r="W55" s="79"/>
      <c r="X55" s="79"/>
      <c r="Y55" s="79"/>
      <c r="Z55" s="79"/>
      <c r="AA55" s="79"/>
      <c r="AB55" s="79"/>
      <c r="AC55" s="92"/>
      <c r="AD55" s="79"/>
      <c r="AE55" s="79"/>
      <c r="AF55" s="79"/>
      <c r="AG55" s="230"/>
      <c r="AH55" s="226"/>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outlineLevel="1">
      <c r="A56" s="30" t="str">
        <f t="shared" si="5"/>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8">
        <f t="array" ref="L56">MIN(IF(V56:CH56&gt;0,$V$16:$CH$16))</f>
        <v>45609</v>
      </c>
      <c r="M56" s="277">
        <f t="array" ref="M56">MAX(IF(V56:CH56&gt;0,$V$16:$CH$16))</f>
        <v>45609</v>
      </c>
      <c r="N56" s="275">
        <f>VLOOKUP(H56,Auxiliar!$B$16:$E$24,4,0)</f>
        <v>1</v>
      </c>
      <c r="O56" s="275">
        <f t="shared" ca="1" si="11"/>
        <v>1</v>
      </c>
      <c r="P56" s="274">
        <f t="shared" ca="1" si="6"/>
        <v>0</v>
      </c>
      <c r="Q56" s="283" t="s">
        <v>38</v>
      </c>
      <c r="R56" s="229"/>
      <c r="S56" s="223">
        <v>0.6</v>
      </c>
      <c r="T56" s="223">
        <f t="shared" si="7"/>
        <v>0.1</v>
      </c>
      <c r="U56" s="223">
        <f t="shared" si="12"/>
        <v>0</v>
      </c>
      <c r="V56" s="79"/>
      <c r="W56" s="79"/>
      <c r="X56" s="79"/>
      <c r="Y56" s="79"/>
      <c r="Z56" s="79"/>
      <c r="AA56" s="79"/>
      <c r="AB56" s="79"/>
      <c r="AC56" s="92"/>
      <c r="AD56" s="79"/>
      <c r="AE56" s="79"/>
      <c r="AF56" s="79"/>
      <c r="AG56" s="230"/>
      <c r="AH56" s="226"/>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outlineLevel="1">
      <c r="A57" s="30" t="str">
        <f t="shared" si="5"/>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8">
        <f t="array" ref="L57">MIN(IF(V57:CH57&gt;0,$V$16:$CH$16))</f>
        <v>45609</v>
      </c>
      <c r="M57" s="277">
        <f t="array" ref="M57">MAX(IF(V57:CH57&gt;0,$V$16:$CH$16))</f>
        <v>45609</v>
      </c>
      <c r="N57" s="275">
        <f>VLOOKUP(H57,Auxiliar!$B$16:$E$24,4,0)</f>
        <v>1</v>
      </c>
      <c r="O57" s="275">
        <f t="shared" ca="1" si="11"/>
        <v>1</v>
      </c>
      <c r="P57" s="274">
        <f t="shared" ca="1" si="6"/>
        <v>0</v>
      </c>
      <c r="Q57" s="283" t="s">
        <v>38</v>
      </c>
      <c r="R57" s="229"/>
      <c r="S57" s="223">
        <v>0.6</v>
      </c>
      <c r="T57" s="223">
        <f t="shared" si="7"/>
        <v>0.1</v>
      </c>
      <c r="U57" s="223">
        <f t="shared" si="12"/>
        <v>0</v>
      </c>
      <c r="V57" s="79"/>
      <c r="W57" s="79"/>
      <c r="X57" s="79"/>
      <c r="Y57" s="79"/>
      <c r="Z57" s="79"/>
      <c r="AA57" s="79"/>
      <c r="AB57" s="79"/>
      <c r="AC57" s="92"/>
      <c r="AD57" s="79"/>
      <c r="AE57" s="79"/>
      <c r="AF57" s="79"/>
      <c r="AG57" s="230"/>
      <c r="AH57" s="226"/>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outlineLevel="1">
      <c r="A58" s="30" t="str">
        <f t="shared" si="5"/>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8">
        <f t="array" ref="L58">MIN(IF(V58:CH58&gt;0,$V$16:$CH$16))</f>
        <v>45609</v>
      </c>
      <c r="M58" s="277">
        <f t="array" ref="M58">MAX(IF(V58:CH58&gt;0,$V$16:$CH$16))</f>
        <v>45609</v>
      </c>
      <c r="N58" s="275">
        <f>VLOOKUP(H58,Auxiliar!$B$16:$E$24,4,0)</f>
        <v>1</v>
      </c>
      <c r="O58" s="275">
        <f t="shared" ca="1" si="11"/>
        <v>1</v>
      </c>
      <c r="P58" s="274">
        <f t="shared" ca="1" si="6"/>
        <v>0</v>
      </c>
      <c r="Q58" s="283" t="s">
        <v>38</v>
      </c>
      <c r="R58" s="229"/>
      <c r="S58" s="223">
        <v>0.6</v>
      </c>
      <c r="T58" s="223">
        <f t="shared" si="7"/>
        <v>0.1</v>
      </c>
      <c r="U58" s="223">
        <f t="shared" si="12"/>
        <v>0</v>
      </c>
      <c r="V58" s="79"/>
      <c r="W58" s="79"/>
      <c r="X58" s="79"/>
      <c r="Y58" s="79"/>
      <c r="Z58" s="79"/>
      <c r="AA58" s="79"/>
      <c r="AB58" s="79"/>
      <c r="AC58" s="92"/>
      <c r="AD58" s="79"/>
      <c r="AE58" s="79"/>
      <c r="AF58" s="79"/>
      <c r="AG58" s="230"/>
      <c r="AH58" s="226"/>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outlineLevel="1">
      <c r="A59" s="30" t="str">
        <f t="shared" si="5"/>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8">
        <f t="array" ref="L59">MIN(IF(V59:CH59&gt;0,$V$16:$CH$16))</f>
        <v>45609</v>
      </c>
      <c r="M59" s="277">
        <f t="array" ref="M59">MAX(IF(V59:CH59&gt;0,$V$16:$CH$16))</f>
        <v>45609</v>
      </c>
      <c r="N59" s="275">
        <f>VLOOKUP(H59,Auxiliar!$B$16:$E$24,4,0)</f>
        <v>1</v>
      </c>
      <c r="O59" s="275">
        <f t="shared" ca="1" si="11"/>
        <v>1</v>
      </c>
      <c r="P59" s="274">
        <f t="shared" ca="1" si="6"/>
        <v>0</v>
      </c>
      <c r="Q59" s="283" t="s">
        <v>38</v>
      </c>
      <c r="R59" s="229"/>
      <c r="S59" s="223">
        <v>0.6</v>
      </c>
      <c r="T59" s="223">
        <f t="shared" si="7"/>
        <v>0.1</v>
      </c>
      <c r="U59" s="223">
        <f t="shared" si="12"/>
        <v>0</v>
      </c>
      <c r="V59" s="79"/>
      <c r="W59" s="79"/>
      <c r="X59" s="79"/>
      <c r="Y59" s="79"/>
      <c r="Z59" s="79"/>
      <c r="AA59" s="79"/>
      <c r="AB59" s="79"/>
      <c r="AC59" s="92"/>
      <c r="AD59" s="79"/>
      <c r="AE59" s="79"/>
      <c r="AF59" s="79"/>
      <c r="AG59" s="230"/>
      <c r="AH59" s="226"/>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outlineLevel="1">
      <c r="A60" s="30" t="str">
        <f t="shared" si="5"/>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8">
        <f t="array" ref="L60">MIN(IF(V60:CH60&gt;0,$V$16:$CH$16))</f>
        <v>45609</v>
      </c>
      <c r="M60" s="277">
        <f t="array" ref="M60">MAX(IF(V60:CH60&gt;0,$V$16:$CH$16))</f>
        <v>45609</v>
      </c>
      <c r="N60" s="275">
        <f>VLOOKUP(H60,Auxiliar!$B$16:$E$24,4,0)</f>
        <v>1</v>
      </c>
      <c r="O60" s="275">
        <f t="shared" ca="1" si="11"/>
        <v>1</v>
      </c>
      <c r="P60" s="274">
        <f t="shared" ca="1" si="6"/>
        <v>0</v>
      </c>
      <c r="Q60" s="283" t="s">
        <v>38</v>
      </c>
      <c r="R60" s="229"/>
      <c r="S60" s="223">
        <v>0.6</v>
      </c>
      <c r="T60" s="223">
        <f t="shared" si="7"/>
        <v>0.1</v>
      </c>
      <c r="U60" s="223">
        <f t="shared" si="12"/>
        <v>0</v>
      </c>
      <c r="V60" s="79"/>
      <c r="W60" s="79"/>
      <c r="X60" s="79"/>
      <c r="Y60" s="79"/>
      <c r="Z60" s="79"/>
      <c r="AA60" s="79"/>
      <c r="AB60" s="79"/>
      <c r="AC60" s="92"/>
      <c r="AD60" s="79"/>
      <c r="AE60" s="79"/>
      <c r="AF60" s="79"/>
      <c r="AG60" s="230"/>
      <c r="AH60" s="226"/>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outlineLevel="1">
      <c r="A61" s="30" t="str">
        <f t="shared" si="5"/>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8">
        <f t="array" ref="L61">MIN(IF(V61:CH61&gt;0,$V$16:$CH$16))</f>
        <v>45609</v>
      </c>
      <c r="M61" s="277">
        <f t="array" ref="M61">MAX(IF(V61:CH61&gt;0,$V$16:$CH$16))</f>
        <v>45609</v>
      </c>
      <c r="N61" s="275">
        <f>VLOOKUP(H61,Auxiliar!$B$16:$E$24,4,0)</f>
        <v>1</v>
      </c>
      <c r="O61" s="275">
        <f t="shared" ca="1" si="11"/>
        <v>1</v>
      </c>
      <c r="P61" s="274">
        <f t="shared" ca="1" si="6"/>
        <v>0</v>
      </c>
      <c r="Q61" s="283" t="s">
        <v>38</v>
      </c>
      <c r="R61" s="229"/>
      <c r="S61" s="223">
        <v>0.6</v>
      </c>
      <c r="T61" s="223">
        <f t="shared" si="7"/>
        <v>0.1</v>
      </c>
      <c r="U61" s="223">
        <f t="shared" si="12"/>
        <v>0</v>
      </c>
      <c r="V61" s="79"/>
      <c r="W61" s="79"/>
      <c r="X61" s="79"/>
      <c r="Y61" s="79"/>
      <c r="Z61" s="79"/>
      <c r="AA61" s="79"/>
      <c r="AB61" s="79"/>
      <c r="AC61" s="92"/>
      <c r="AD61" s="79"/>
      <c r="AE61" s="79"/>
      <c r="AF61" s="79"/>
      <c r="AG61" s="230"/>
      <c r="AH61" s="226"/>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outlineLevel="1">
      <c r="A62" s="30" t="str">
        <f t="shared" si="5"/>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8">
        <f t="array" ref="L62">MIN(IF(V62:CH62&gt;0,$V$16:$CH$16))</f>
        <v>45609</v>
      </c>
      <c r="M62" s="277">
        <f t="array" ref="M62">MAX(IF(V62:CH62&gt;0,$V$16:$CH$16))</f>
        <v>45609</v>
      </c>
      <c r="N62" s="275">
        <f>VLOOKUP(H62,Auxiliar!$B$16:$E$24,4,0)</f>
        <v>1</v>
      </c>
      <c r="O62" s="275">
        <f t="shared" ca="1" si="11"/>
        <v>1</v>
      </c>
      <c r="P62" s="274">
        <f t="shared" ca="1" si="6"/>
        <v>0</v>
      </c>
      <c r="Q62" s="283" t="s">
        <v>38</v>
      </c>
      <c r="R62" s="229"/>
      <c r="S62" s="223">
        <v>0.6</v>
      </c>
      <c r="T62" s="223">
        <f t="shared" si="7"/>
        <v>0.1</v>
      </c>
      <c r="U62" s="223">
        <f t="shared" si="12"/>
        <v>0</v>
      </c>
      <c r="V62" s="79"/>
      <c r="W62" s="79"/>
      <c r="X62" s="79"/>
      <c r="Y62" s="79"/>
      <c r="Z62" s="79"/>
      <c r="AA62" s="79"/>
      <c r="AB62" s="79"/>
      <c r="AC62" s="92"/>
      <c r="AD62" s="79"/>
      <c r="AE62" s="79"/>
      <c r="AF62" s="79"/>
      <c r="AG62" s="230"/>
      <c r="AH62" s="226"/>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8">
        <f t="array" ref="L63">MIN(IF(V63:CH63&gt;0,$V$16:$CH$16))</f>
        <v>45609</v>
      </c>
      <c r="M63" s="277">
        <f t="array" ref="M63">MAX(IF(V63:CH63&gt;0,$V$16:$CH$16))</f>
        <v>45609</v>
      </c>
      <c r="N63" s="275">
        <f>VLOOKUP(H63,Auxiliar!$B$16:$E$24,4,0)</f>
        <v>0.25</v>
      </c>
      <c r="O63" s="275">
        <f ca="1">IF(TODAY()&lt;=L63,0,MIN((TODAY()-L63)/(M63-L63+1),100%))</f>
        <v>1</v>
      </c>
      <c r="P63" s="274">
        <f ca="1">N63-O63</f>
        <v>-0.75</v>
      </c>
      <c r="Q63" s="283" t="s">
        <v>38</v>
      </c>
      <c r="R63" s="229"/>
      <c r="S63" s="223">
        <v>0.6</v>
      </c>
      <c r="T63" s="223">
        <f>ROUND(S63/8,1)</f>
        <v>0.1</v>
      </c>
      <c r="U63" s="223">
        <f>SUM(V63:CH63)-T63</f>
        <v>0</v>
      </c>
      <c r="V63" s="79"/>
      <c r="W63" s="79"/>
      <c r="X63" s="79"/>
      <c r="Y63" s="79"/>
      <c r="Z63" s="79"/>
      <c r="AA63" s="79"/>
      <c r="AB63" s="79"/>
      <c r="AC63" s="92"/>
      <c r="AD63" s="79"/>
      <c r="AE63" s="79"/>
      <c r="AF63" s="79"/>
      <c r="AG63" s="230"/>
      <c r="AH63" s="226"/>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outlineLevel="1">
      <c r="A64" s="30" t="str">
        <f t="shared" si="5"/>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8">
        <f t="array" ref="L64">MIN(IF(V64:CH64&gt;0,$V$16:$CH$16))</f>
        <v>45609</v>
      </c>
      <c r="M64" s="277">
        <f t="array" ref="M64">MAX(IF(V64:CH64&gt;0,$V$16:$CH$16))</f>
        <v>45609</v>
      </c>
      <c r="N64" s="275">
        <f>VLOOKUP(H64,Auxiliar!$B$16:$E$24,4,0)</f>
        <v>1</v>
      </c>
      <c r="O64" s="275">
        <f t="shared" ca="1" si="11"/>
        <v>1</v>
      </c>
      <c r="P64" s="274">
        <f t="shared" ca="1" si="6"/>
        <v>0</v>
      </c>
      <c r="Q64" s="283" t="s">
        <v>38</v>
      </c>
      <c r="R64" s="229"/>
      <c r="S64" s="223">
        <v>0.6</v>
      </c>
      <c r="T64" s="223">
        <f t="shared" si="7"/>
        <v>0.1</v>
      </c>
      <c r="U64" s="223">
        <f t="shared" si="12"/>
        <v>0</v>
      </c>
      <c r="V64" s="79"/>
      <c r="W64" s="79"/>
      <c r="X64" s="79"/>
      <c r="Y64" s="79"/>
      <c r="Z64" s="79"/>
      <c r="AA64" s="79"/>
      <c r="AB64" s="79"/>
      <c r="AC64" s="92"/>
      <c r="AD64" s="79"/>
      <c r="AE64" s="79"/>
      <c r="AF64" s="79"/>
      <c r="AG64" s="230"/>
      <c r="AH64" s="226"/>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outlineLevel="1">
      <c r="A65" s="30" t="str">
        <f t="shared" si="5"/>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8">
        <f t="array" ref="L65">MIN(IF(V65:CH65&gt;0,$V$16:$CH$16))</f>
        <v>45609</v>
      </c>
      <c r="M65" s="277">
        <f t="array" ref="M65">MAX(IF(V65:CH65&gt;0,$V$16:$CH$16))</f>
        <v>45609</v>
      </c>
      <c r="N65" s="275">
        <f>VLOOKUP(H65,Auxiliar!$B$16:$E$24,4,0)</f>
        <v>1</v>
      </c>
      <c r="O65" s="275">
        <f t="shared" ca="1" si="11"/>
        <v>1</v>
      </c>
      <c r="P65" s="274">
        <f t="shared" ca="1" si="6"/>
        <v>0</v>
      </c>
      <c r="Q65" s="283" t="s">
        <v>38</v>
      </c>
      <c r="R65" s="229"/>
      <c r="S65" s="223">
        <v>0.6</v>
      </c>
      <c r="T65" s="223">
        <f t="shared" si="7"/>
        <v>0.1</v>
      </c>
      <c r="U65" s="223">
        <f t="shared" si="12"/>
        <v>0</v>
      </c>
      <c r="V65" s="79"/>
      <c r="W65" s="79"/>
      <c r="X65" s="79"/>
      <c r="Y65" s="79"/>
      <c r="Z65" s="79"/>
      <c r="AA65" s="79"/>
      <c r="AB65" s="79"/>
      <c r="AC65" s="92"/>
      <c r="AD65" s="79"/>
      <c r="AE65" s="79"/>
      <c r="AF65" s="79"/>
      <c r="AG65" s="230"/>
      <c r="AH65" s="226"/>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outlineLevel="1">
      <c r="A66" s="30" t="str">
        <f t="shared" si="5"/>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8">
        <f t="array" ref="L66">MIN(IF(V66:CH66&gt;0,$V$16:$CH$16))</f>
        <v>45609</v>
      </c>
      <c r="M66" s="277">
        <f t="array" ref="M66">MAX(IF(V66:CH66&gt;0,$V$16:$CH$16))</f>
        <v>45609</v>
      </c>
      <c r="N66" s="275">
        <f>VLOOKUP(H66,Auxiliar!$B$16:$E$24,4,0)</f>
        <v>1</v>
      </c>
      <c r="O66" s="275">
        <f t="shared" ca="1" si="11"/>
        <v>1</v>
      </c>
      <c r="P66" s="274">
        <f t="shared" ca="1" si="6"/>
        <v>0</v>
      </c>
      <c r="Q66" s="283" t="s">
        <v>38</v>
      </c>
      <c r="R66" s="229"/>
      <c r="S66" s="223">
        <v>0.6</v>
      </c>
      <c r="T66" s="223">
        <f t="shared" si="7"/>
        <v>0.1</v>
      </c>
      <c r="U66" s="223">
        <f t="shared" si="12"/>
        <v>0</v>
      </c>
      <c r="V66" s="79"/>
      <c r="W66" s="79"/>
      <c r="X66" s="79"/>
      <c r="Y66" s="79"/>
      <c r="Z66" s="79"/>
      <c r="AA66" s="79"/>
      <c r="AB66" s="79"/>
      <c r="AC66" s="92"/>
      <c r="AD66" s="79"/>
      <c r="AE66" s="79"/>
      <c r="AF66" s="79"/>
      <c r="AG66" s="230"/>
      <c r="AH66" s="226"/>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outlineLevel="1">
      <c r="A67" s="30" t="str">
        <f t="shared" si="5"/>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8">
        <f t="array" ref="L67">MIN(IF(V67:CH67&gt;0,$V$16:$CH$16))</f>
        <v>45609</v>
      </c>
      <c r="M67" s="277">
        <f t="array" ref="M67">MAX(IF(V67:CH67&gt;0,$V$16:$CH$16))</f>
        <v>45609</v>
      </c>
      <c r="N67" s="275">
        <f>VLOOKUP(H67,Auxiliar!$B$16:$E$24,4,0)</f>
        <v>1</v>
      </c>
      <c r="O67" s="275">
        <f t="shared" ca="1" si="11"/>
        <v>1</v>
      </c>
      <c r="P67" s="274">
        <f t="shared" ca="1" si="6"/>
        <v>0</v>
      </c>
      <c r="Q67" s="283" t="s">
        <v>38</v>
      </c>
      <c r="R67" s="229"/>
      <c r="S67" s="223">
        <v>0.6</v>
      </c>
      <c r="T67" s="223">
        <f t="shared" si="7"/>
        <v>0.1</v>
      </c>
      <c r="U67" s="223">
        <f t="shared" si="12"/>
        <v>0</v>
      </c>
      <c r="V67" s="79"/>
      <c r="W67" s="79"/>
      <c r="X67" s="79"/>
      <c r="Y67" s="79"/>
      <c r="Z67" s="79"/>
      <c r="AA67" s="79"/>
      <c r="AB67" s="79"/>
      <c r="AC67" s="92"/>
      <c r="AD67" s="79"/>
      <c r="AE67" s="79"/>
      <c r="AF67" s="79"/>
      <c r="AG67" s="230"/>
      <c r="AH67" s="226"/>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outlineLevel="1">
      <c r="A68" s="30" t="str">
        <f t="shared" si="5"/>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8">
        <f t="array" ref="L68">MIN(IF(V68:CH68&gt;0,$V$16:$CH$16))</f>
        <v>45609</v>
      </c>
      <c r="M68" s="277">
        <f t="array" ref="M68">MAX(IF(V68:CH68&gt;0,$V$16:$CH$16))</f>
        <v>45609</v>
      </c>
      <c r="N68" s="275">
        <f>VLOOKUP(H68,Auxiliar!$B$16:$E$24,4,0)</f>
        <v>1</v>
      </c>
      <c r="O68" s="275">
        <f t="shared" ca="1" si="11"/>
        <v>1</v>
      </c>
      <c r="P68" s="274">
        <f t="shared" ca="1" si="6"/>
        <v>0</v>
      </c>
      <c r="Q68" s="283" t="s">
        <v>38</v>
      </c>
      <c r="R68" s="229"/>
      <c r="S68" s="223">
        <v>0.6</v>
      </c>
      <c r="T68" s="223">
        <f t="shared" si="7"/>
        <v>0.1</v>
      </c>
      <c r="U68" s="223">
        <f t="shared" si="12"/>
        <v>0</v>
      </c>
      <c r="V68" s="79"/>
      <c r="W68" s="79"/>
      <c r="X68" s="79"/>
      <c r="Y68" s="79"/>
      <c r="Z68" s="79"/>
      <c r="AA68" s="79"/>
      <c r="AB68" s="79"/>
      <c r="AC68" s="92"/>
      <c r="AD68" s="79"/>
      <c r="AE68" s="79"/>
      <c r="AF68" s="79"/>
      <c r="AG68" s="230"/>
      <c r="AH68" s="226"/>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outlineLevel="1">
      <c r="A69" s="30" t="str">
        <f t="shared" si="5"/>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8">
        <f t="array" ref="L69">MIN(IF(V69:CH69&gt;0,$V$16:$CH$16))</f>
        <v>45609</v>
      </c>
      <c r="M69" s="277">
        <f t="array" ref="M69">MAX(IF(V69:CH69&gt;0,$V$16:$CH$16))</f>
        <v>45609</v>
      </c>
      <c r="N69" s="275">
        <f>VLOOKUP(H69,Auxiliar!$B$16:$E$24,4,0)</f>
        <v>1</v>
      </c>
      <c r="O69" s="275">
        <f t="shared" ca="1" si="11"/>
        <v>1</v>
      </c>
      <c r="P69" s="274">
        <f t="shared" ca="1" si="6"/>
        <v>0</v>
      </c>
      <c r="Q69" s="283" t="s">
        <v>38</v>
      </c>
      <c r="R69" s="229"/>
      <c r="S69" s="223">
        <v>0.6</v>
      </c>
      <c r="T69" s="223">
        <f t="shared" si="7"/>
        <v>0.1</v>
      </c>
      <c r="U69" s="223">
        <f t="shared" si="12"/>
        <v>0</v>
      </c>
      <c r="V69" s="79"/>
      <c r="W69" s="79"/>
      <c r="X69" s="79"/>
      <c r="Y69" s="79"/>
      <c r="Z69" s="79"/>
      <c r="AA69" s="79"/>
      <c r="AB69" s="79"/>
      <c r="AC69" s="92"/>
      <c r="AD69" s="79"/>
      <c r="AE69" s="79"/>
      <c r="AF69" s="79"/>
      <c r="AG69" s="230"/>
      <c r="AH69" s="226"/>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 r="A70" s="30"/>
      <c r="B70" s="142" t="s">
        <v>26</v>
      </c>
      <c r="C70" s="138" t="s">
        <v>311</v>
      </c>
      <c r="D70" s="134"/>
      <c r="E70" s="259" t="s">
        <v>312</v>
      </c>
      <c r="F70" s="259" t="s">
        <v>2006</v>
      </c>
      <c r="G70" s="260">
        <f>COUNTA(G71:G78)</f>
        <v>8</v>
      </c>
      <c r="H70" s="136"/>
      <c r="I70" s="228" t="s">
        <v>38</v>
      </c>
      <c r="J70" s="257">
        <f>MIN(J71:J78)</f>
        <v>45600</v>
      </c>
      <c r="K70" s="258">
        <f>MIN(K71:K78)</f>
        <v>45601</v>
      </c>
      <c r="L70" s="257">
        <f>MIN(L71:L78)</f>
        <v>45602</v>
      </c>
      <c r="M70" s="258">
        <f>MAX(M71:M78)</f>
        <v>45608</v>
      </c>
      <c r="N70" s="279">
        <f>SUMPRODUCT(N71:N78,T71:T78)/SUM(T71:T78)</f>
        <v>1</v>
      </c>
      <c r="O70" s="279">
        <f ca="1">SUMPRODUCT(O71:O78,T71:T78)/SUM(T71:T78)</f>
        <v>1</v>
      </c>
      <c r="P70" s="274">
        <f t="shared" ca="1" si="6"/>
        <v>0</v>
      </c>
      <c r="Q70" s="283" t="s">
        <v>38</v>
      </c>
      <c r="R70" s="229"/>
      <c r="S70" s="223"/>
      <c r="T70" s="223"/>
      <c r="U70" s="223"/>
      <c r="V70" s="79"/>
      <c r="W70" s="79"/>
      <c r="X70" s="79"/>
      <c r="Y70" s="79"/>
      <c r="Z70" s="79"/>
      <c r="AA70" s="79"/>
      <c r="AB70" s="79"/>
      <c r="AC70" s="92"/>
      <c r="AD70" s="230"/>
      <c r="AE70" s="226"/>
      <c r="AF70" s="79"/>
      <c r="AG70" s="79"/>
      <c r="AH70" s="79"/>
      <c r="AI70" s="79"/>
      <c r="AJ70" s="79"/>
      <c r="AK70" s="79"/>
      <c r="AL70" s="236"/>
      <c r="AM70" s="226">
        <v>0.5</v>
      </c>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outlineLevel="1">
      <c r="A71" s="30" t="str">
        <f t="shared" ref="A71:A78" si="13">E71&amp;G71</f>
        <v>modesg_out_bens_imoveisorigem_scp1_emss</v>
      </c>
      <c r="B71" s="142" t="s">
        <v>26</v>
      </c>
      <c r="C71" s="138" t="s">
        <v>311</v>
      </c>
      <c r="D71" s="252" t="s">
        <v>40</v>
      </c>
      <c r="E71" s="253" t="s">
        <v>312</v>
      </c>
      <c r="F71" s="253"/>
      <c r="G71" s="252" t="s">
        <v>320</v>
      </c>
      <c r="H71" s="254" t="str">
        <f>VLOOKUP(A71,'2. Status Detalhe Campos'!$A$7:$G$574,7,0)</f>
        <v>1. Concluído</v>
      </c>
      <c r="I71" s="228" t="s">
        <v>38</v>
      </c>
      <c r="J71" s="153">
        <v>45600</v>
      </c>
      <c r="K71" s="228">
        <v>45601</v>
      </c>
      <c r="L71" s="278">
        <f t="array" ref="L71">MIN(IF(V71:CH71&gt;0,$V$16:$CH$16))</f>
        <v>45602</v>
      </c>
      <c r="M71" s="277">
        <f t="array" ref="M71">MAX(IF(V71:CH71&gt;0,$V$16:$CH$16))</f>
        <v>45602</v>
      </c>
      <c r="N71" s="275">
        <f>VLOOKUP(H71,Auxiliar!$B$16:$E$24,4,0)</f>
        <v>1</v>
      </c>
      <c r="O71" s="275">
        <f t="shared" ref="O71:O78" ca="1" si="14">IF(TODAY()&lt;=L71,0,MIN((TODAY()-L71)/(M71-L71+1),100%))</f>
        <v>1</v>
      </c>
      <c r="P71" s="274">
        <f t="shared" ca="1" si="6"/>
        <v>0</v>
      </c>
      <c r="Q71" s="274"/>
      <c r="R71" s="229" t="s">
        <v>1954</v>
      </c>
      <c r="S71" s="223">
        <v>4.0999999999999996</v>
      </c>
      <c r="T71" s="223">
        <f t="shared" ref="T71:T78" si="15">ROUND(S71/8,1)</f>
        <v>0.5</v>
      </c>
      <c r="U71" s="223">
        <f t="shared" ref="U71:U78" si="16">SUM(V71:CH71)-T71</f>
        <v>0</v>
      </c>
      <c r="V71" s="79"/>
      <c r="W71" s="79"/>
      <c r="X71" s="79"/>
      <c r="Y71" s="79"/>
      <c r="Z71" s="79"/>
      <c r="AA71" s="79"/>
      <c r="AB71" s="79"/>
      <c r="AC71" s="92"/>
      <c r="AD71" s="230"/>
      <c r="AE71" s="226"/>
      <c r="AF71" s="79">
        <v>0.5</v>
      </c>
      <c r="AG71" s="79"/>
      <c r="AH71" s="79"/>
      <c r="AI71" s="79"/>
      <c r="AJ71" s="79"/>
      <c r="AK71" s="79"/>
      <c r="AL71" s="236"/>
      <c r="AM71" s="226"/>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outlineLevel="1">
      <c r="A72" s="30" t="str">
        <f t="shared" si="13"/>
        <v>modesg_out_bens_imoveisorigem_scp2_emss</v>
      </c>
      <c r="B72" s="142" t="s">
        <v>26</v>
      </c>
      <c r="C72" s="138" t="s">
        <v>311</v>
      </c>
      <c r="D72" s="252" t="s">
        <v>40</v>
      </c>
      <c r="E72" s="253" t="s">
        <v>312</v>
      </c>
      <c r="F72" s="253"/>
      <c r="G72" s="252" t="s">
        <v>321</v>
      </c>
      <c r="H72" s="254" t="str">
        <f>VLOOKUP(A72,'2. Status Detalhe Campos'!$A$7:$G$574,7,0)</f>
        <v>1. Concluído</v>
      </c>
      <c r="I72" s="228" t="s">
        <v>38</v>
      </c>
      <c r="J72" s="153">
        <v>45600</v>
      </c>
      <c r="K72" s="228">
        <v>45601</v>
      </c>
      <c r="L72" s="278">
        <f t="array" ref="L72">MIN(IF(V72:CH72&gt;0,$V$16:$CH$16))</f>
        <v>45602</v>
      </c>
      <c r="M72" s="277">
        <f t="array" ref="M72">MAX(IF(V72:CH72&gt;0,$V$16:$CH$16))</f>
        <v>45602</v>
      </c>
      <c r="N72" s="275">
        <f>VLOOKUP(H72,Auxiliar!$B$16:$E$24,4,0)</f>
        <v>1</v>
      </c>
      <c r="O72" s="275">
        <f t="shared" ca="1" si="14"/>
        <v>1</v>
      </c>
      <c r="P72" s="274">
        <f t="shared" ca="1" si="6"/>
        <v>0</v>
      </c>
      <c r="Q72" s="274"/>
      <c r="R72" s="229" t="s">
        <v>1954</v>
      </c>
      <c r="S72" s="223">
        <v>4.0999999999999996</v>
      </c>
      <c r="T72" s="223">
        <f t="shared" si="15"/>
        <v>0.5</v>
      </c>
      <c r="U72" s="223">
        <f t="shared" si="16"/>
        <v>0</v>
      </c>
      <c r="V72" s="79"/>
      <c r="W72" s="79"/>
      <c r="X72" s="79"/>
      <c r="Y72" s="79"/>
      <c r="Z72" s="79"/>
      <c r="AA72" s="79"/>
      <c r="AB72" s="79"/>
      <c r="AC72" s="92"/>
      <c r="AD72" s="230"/>
      <c r="AE72" s="226"/>
      <c r="AF72" s="79">
        <v>0.5</v>
      </c>
      <c r="AG72" s="79"/>
      <c r="AH72" s="79"/>
      <c r="AI72" s="79"/>
      <c r="AJ72" s="79"/>
      <c r="AK72" s="79"/>
      <c r="AL72" s="236"/>
      <c r="AM72" s="226"/>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outlineLevel="1">
      <c r="A73" s="30" t="str">
        <f t="shared" si="13"/>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8">
        <f t="array" ref="L73">MIN(IF(V73:CH73&gt;0,$V$16:$CH$16))</f>
        <v>45603</v>
      </c>
      <c r="M73" s="277">
        <f t="array" ref="M73">MAX(IF(V73:CH73&gt;0,$V$16:$CH$16))</f>
        <v>45603</v>
      </c>
      <c r="N73" s="275">
        <f>VLOOKUP(H73,Auxiliar!$B$16:$E$24,4,0)</f>
        <v>1</v>
      </c>
      <c r="O73" s="275">
        <f t="shared" ca="1" si="14"/>
        <v>1</v>
      </c>
      <c r="P73" s="274">
        <f t="shared" ca="1" si="6"/>
        <v>0</v>
      </c>
      <c r="Q73" s="274"/>
      <c r="R73" s="229" t="s">
        <v>1954</v>
      </c>
      <c r="S73" s="223">
        <v>4.0999999999999996</v>
      </c>
      <c r="T73" s="223">
        <f t="shared" si="15"/>
        <v>0.5</v>
      </c>
      <c r="U73" s="223">
        <f t="shared" si="16"/>
        <v>0</v>
      </c>
      <c r="V73" s="79"/>
      <c r="W73" s="79"/>
      <c r="X73" s="79"/>
      <c r="Y73" s="79"/>
      <c r="Z73" s="79"/>
      <c r="AA73" s="79"/>
      <c r="AB73" s="79"/>
      <c r="AC73" s="92"/>
      <c r="AD73" s="230"/>
      <c r="AE73" s="226"/>
      <c r="AF73" s="79"/>
      <c r="AG73" s="79">
        <v>0.5</v>
      </c>
      <c r="AH73" s="79"/>
      <c r="AI73" s="79"/>
      <c r="AJ73" s="79"/>
      <c r="AK73" s="79"/>
      <c r="AL73" s="236"/>
      <c r="AM73" s="226"/>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outlineLevel="1">
      <c r="A74" s="30" t="str">
        <f t="shared" si="13"/>
        <v>modesg_out_bens_imoveisscp1_emss</v>
      </c>
      <c r="B74" s="142" t="s">
        <v>26</v>
      </c>
      <c r="C74" s="138" t="s">
        <v>311</v>
      </c>
      <c r="D74" s="252" t="s">
        <v>40</v>
      </c>
      <c r="E74" s="253" t="s">
        <v>312</v>
      </c>
      <c r="F74" s="253"/>
      <c r="G74" s="252" t="s">
        <v>286</v>
      </c>
      <c r="H74" s="254" t="str">
        <f>VLOOKUP(A74,'2. Status Detalhe Campos'!$A$7:$G$574,7,0)</f>
        <v>1. Concluído</v>
      </c>
      <c r="I74" s="228" t="s">
        <v>38</v>
      </c>
      <c r="J74" s="153">
        <v>45600</v>
      </c>
      <c r="K74" s="228">
        <v>45601</v>
      </c>
      <c r="L74" s="278">
        <f t="array" ref="L74">MIN(IF(V74:CH74&gt;0,$V$16:$CH$16))</f>
        <v>45603</v>
      </c>
      <c r="M74" s="277">
        <f t="array" ref="M74">MAX(IF(V74:CH74&gt;0,$V$16:$CH$16))</f>
        <v>45604</v>
      </c>
      <c r="N74" s="275">
        <f>VLOOKUP(H74,Auxiliar!$B$16:$E$24,4,0)</f>
        <v>1</v>
      </c>
      <c r="O74" s="275">
        <f t="shared" ca="1" si="14"/>
        <v>1</v>
      </c>
      <c r="P74" s="274">
        <f t="shared" ca="1" si="6"/>
        <v>0</v>
      </c>
      <c r="Q74" s="274"/>
      <c r="R74" s="229" t="s">
        <v>1954</v>
      </c>
      <c r="S74" s="223">
        <v>8.1</v>
      </c>
      <c r="T74" s="223">
        <f t="shared" si="15"/>
        <v>1</v>
      </c>
      <c r="U74" s="223">
        <f t="shared" si="16"/>
        <v>0</v>
      </c>
      <c r="V74" s="79"/>
      <c r="W74" s="79"/>
      <c r="X74" s="79"/>
      <c r="Y74" s="79"/>
      <c r="Z74" s="79"/>
      <c r="AA74" s="79"/>
      <c r="AB74" s="79"/>
      <c r="AC74" s="92"/>
      <c r="AD74" s="230"/>
      <c r="AE74" s="226"/>
      <c r="AF74" s="79"/>
      <c r="AG74" s="79">
        <v>0.5</v>
      </c>
      <c r="AH74" s="79">
        <v>0.5</v>
      </c>
      <c r="AI74" s="79"/>
      <c r="AJ74" s="79"/>
      <c r="AK74" s="79"/>
      <c r="AL74" s="236"/>
      <c r="AM74" s="226"/>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outlineLevel="1">
      <c r="A75" s="30" t="str">
        <f t="shared" si="13"/>
        <v>modesg_out_bens_imoveisscp2_emss</v>
      </c>
      <c r="B75" s="142" t="s">
        <v>26</v>
      </c>
      <c r="C75" s="138" t="s">
        <v>311</v>
      </c>
      <c r="D75" s="252" t="s">
        <v>40</v>
      </c>
      <c r="E75" s="253" t="s">
        <v>312</v>
      </c>
      <c r="F75" s="253"/>
      <c r="G75" s="252" t="s">
        <v>287</v>
      </c>
      <c r="H75" s="254" t="str">
        <f>VLOOKUP(A75,'2. Status Detalhe Campos'!$A$7:$G$574,7,0)</f>
        <v>1. Concluído</v>
      </c>
      <c r="I75" s="228" t="s">
        <v>38</v>
      </c>
      <c r="J75" s="153">
        <v>45600</v>
      </c>
      <c r="K75" s="228">
        <v>45601</v>
      </c>
      <c r="L75" s="278">
        <f t="array" ref="L75">MIN(IF(V75:CH75&gt;0,$V$16:$CH$16))</f>
        <v>45604</v>
      </c>
      <c r="M75" s="277">
        <f t="array" ref="M75">MAX(IF(V75:CH75&gt;0,$V$16:$CH$16))</f>
        <v>45607</v>
      </c>
      <c r="N75" s="275">
        <f>VLOOKUP(H75,Auxiliar!$B$16:$E$24,4,0)</f>
        <v>1</v>
      </c>
      <c r="O75" s="275">
        <f t="shared" ca="1" si="14"/>
        <v>1</v>
      </c>
      <c r="P75" s="274">
        <f t="shared" ca="1" si="6"/>
        <v>0</v>
      </c>
      <c r="Q75" s="274"/>
      <c r="R75" s="229" t="s">
        <v>1954</v>
      </c>
      <c r="S75" s="223">
        <v>8.1</v>
      </c>
      <c r="T75" s="223">
        <f t="shared" si="15"/>
        <v>1</v>
      </c>
      <c r="U75" s="223">
        <f t="shared" si="16"/>
        <v>0</v>
      </c>
      <c r="V75" s="79"/>
      <c r="W75" s="79"/>
      <c r="X75" s="79"/>
      <c r="Y75" s="79"/>
      <c r="Z75" s="79"/>
      <c r="AA75" s="79"/>
      <c r="AB75" s="79"/>
      <c r="AC75" s="92"/>
      <c r="AD75" s="230"/>
      <c r="AE75" s="226"/>
      <c r="AF75" s="79"/>
      <c r="AG75" s="79"/>
      <c r="AH75" s="79">
        <v>0.5</v>
      </c>
      <c r="AI75" s="79">
        <v>0.5</v>
      </c>
      <c r="AJ75" s="79"/>
      <c r="AK75" s="79"/>
      <c r="AL75" s="236"/>
      <c r="AM75" s="226"/>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outlineLevel="1">
      <c r="A76" s="30" t="str">
        <f t="shared" si="13"/>
        <v>modesg_out_bens_imoveisunidade_funcional_scp1_emss</v>
      </c>
      <c r="B76" s="142" t="s">
        <v>26</v>
      </c>
      <c r="C76" s="138" t="s">
        <v>311</v>
      </c>
      <c r="D76" s="252" t="s">
        <v>40</v>
      </c>
      <c r="E76" s="253" t="s">
        <v>312</v>
      </c>
      <c r="F76" s="253"/>
      <c r="G76" s="252" t="s">
        <v>323</v>
      </c>
      <c r="H76" s="254" t="str">
        <f>VLOOKUP(A76,'2. Status Detalhe Campos'!$A$7:$G$574,7,0)</f>
        <v>1. Concluído</v>
      </c>
      <c r="I76" s="228" t="s">
        <v>38</v>
      </c>
      <c r="J76" s="153">
        <v>45600</v>
      </c>
      <c r="K76" s="228">
        <v>45601</v>
      </c>
      <c r="L76" s="278">
        <f t="array" ref="L76">MIN(IF(V76:CH76&gt;0,$V$16:$CH$16))</f>
        <v>45607</v>
      </c>
      <c r="M76" s="277">
        <f t="array" ref="M76">MAX(IF(V76:CH76&gt;0,$V$16:$CH$16))</f>
        <v>45607</v>
      </c>
      <c r="N76" s="275">
        <f>VLOOKUP(H76,Auxiliar!$B$16:$E$24,4,0)</f>
        <v>1</v>
      </c>
      <c r="O76" s="275">
        <f t="shared" ca="1" si="14"/>
        <v>1</v>
      </c>
      <c r="P76" s="274">
        <f t="shared" ca="1" si="6"/>
        <v>0</v>
      </c>
      <c r="Q76" s="274"/>
      <c r="R76" s="229" t="s">
        <v>1954</v>
      </c>
      <c r="S76" s="223">
        <v>4.0999999999999996</v>
      </c>
      <c r="T76" s="223">
        <f t="shared" si="15"/>
        <v>0.5</v>
      </c>
      <c r="U76" s="223">
        <f t="shared" si="16"/>
        <v>0</v>
      </c>
      <c r="V76" s="79"/>
      <c r="W76" s="79"/>
      <c r="X76" s="79"/>
      <c r="Y76" s="79"/>
      <c r="Z76" s="79"/>
      <c r="AA76" s="79"/>
      <c r="AB76" s="79"/>
      <c r="AC76" s="92"/>
      <c r="AD76" s="230"/>
      <c r="AE76" s="226"/>
      <c r="AF76" s="79"/>
      <c r="AG76" s="79"/>
      <c r="AH76" s="79"/>
      <c r="AI76" s="79">
        <v>0.5</v>
      </c>
      <c r="AJ76" s="79"/>
      <c r="AK76" s="79"/>
      <c r="AL76" s="236"/>
      <c r="AM76" s="226"/>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outlineLevel="1">
      <c r="A77" s="30" t="str">
        <f t="shared" si="13"/>
        <v>modesg_out_bens_imoveisunidade_funcional_scp2_emss</v>
      </c>
      <c r="B77" s="142" t="s">
        <v>26</v>
      </c>
      <c r="C77" s="138" t="s">
        <v>311</v>
      </c>
      <c r="D77" s="252" t="s">
        <v>40</v>
      </c>
      <c r="E77" s="253" t="s">
        <v>312</v>
      </c>
      <c r="F77" s="253"/>
      <c r="G77" s="252" t="s">
        <v>324</v>
      </c>
      <c r="H77" s="254" t="str">
        <f>VLOOKUP(A77,'2. Status Detalhe Campos'!$A$7:$G$574,7,0)</f>
        <v>1. Concluído</v>
      </c>
      <c r="I77" s="228" t="s">
        <v>38</v>
      </c>
      <c r="J77" s="153">
        <v>45600</v>
      </c>
      <c r="K77" s="228">
        <v>45601</v>
      </c>
      <c r="L77" s="278">
        <f t="array" ref="L77">MIN(IF(V77:CH77&gt;0,$V$16:$CH$16))</f>
        <v>45608</v>
      </c>
      <c r="M77" s="277">
        <f t="array" ref="M77">MAX(IF(V77:CH77&gt;0,$V$16:$CH$16))</f>
        <v>45608</v>
      </c>
      <c r="N77" s="275">
        <f>VLOOKUP(H77,Auxiliar!$B$16:$E$24,4,0)</f>
        <v>1</v>
      </c>
      <c r="O77" s="275">
        <f t="shared" ca="1" si="14"/>
        <v>1</v>
      </c>
      <c r="P77" s="274">
        <f t="shared" ca="1" si="6"/>
        <v>0</v>
      </c>
      <c r="Q77" s="274"/>
      <c r="R77" s="229" t="s">
        <v>1954</v>
      </c>
      <c r="S77" s="223">
        <v>4.0999999999999996</v>
      </c>
      <c r="T77" s="223">
        <f t="shared" si="15"/>
        <v>0.5</v>
      </c>
      <c r="U77" s="223">
        <f t="shared" si="16"/>
        <v>0</v>
      </c>
      <c r="V77" s="79"/>
      <c r="W77" s="79"/>
      <c r="X77" s="79"/>
      <c r="Y77" s="79"/>
      <c r="Z77" s="79"/>
      <c r="AA77" s="79"/>
      <c r="AB77" s="79"/>
      <c r="AC77" s="92"/>
      <c r="AD77" s="230"/>
      <c r="AE77" s="226"/>
      <c r="AF77" s="79"/>
      <c r="AG77" s="79"/>
      <c r="AH77" s="79"/>
      <c r="AI77" s="79"/>
      <c r="AJ77" s="79">
        <v>0.5</v>
      </c>
      <c r="AK77" s="79"/>
      <c r="AL77" s="236"/>
      <c r="AM77" s="226"/>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outlineLevel="1">
      <c r="A78" s="30" t="str">
        <f t="shared" si="13"/>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8">
        <f t="array" ref="L78">MIN(IF(V78:CH78&gt;0,$V$16:$CH$16))</f>
        <v>45608</v>
      </c>
      <c r="M78" s="277">
        <f t="array" ref="M78">MAX(IF(V78:CH78&gt;0,$V$16:$CH$16))</f>
        <v>45608</v>
      </c>
      <c r="N78" s="275">
        <f>VLOOKUP(H78,Auxiliar!$B$16:$E$24,4,0)</f>
        <v>1</v>
      </c>
      <c r="O78" s="275">
        <f t="shared" ca="1" si="14"/>
        <v>1</v>
      </c>
      <c r="P78" s="274">
        <f t="shared" ca="1" si="6"/>
        <v>0</v>
      </c>
      <c r="Q78" s="274"/>
      <c r="R78" s="229" t="s">
        <v>1954</v>
      </c>
      <c r="S78" s="223">
        <v>4.0999999999999996</v>
      </c>
      <c r="T78" s="223">
        <f t="shared" si="15"/>
        <v>0.5</v>
      </c>
      <c r="U78" s="223">
        <f t="shared" si="16"/>
        <v>0</v>
      </c>
      <c r="V78" s="79"/>
      <c r="W78" s="79"/>
      <c r="X78" s="79"/>
      <c r="Y78" s="79"/>
      <c r="Z78" s="79"/>
      <c r="AA78" s="79"/>
      <c r="AB78" s="79"/>
      <c r="AC78" s="92"/>
      <c r="AD78" s="230"/>
      <c r="AE78" s="226"/>
      <c r="AF78" s="79"/>
      <c r="AG78" s="79"/>
      <c r="AH78" s="79"/>
      <c r="AI78" s="79"/>
      <c r="AJ78" s="79">
        <v>0.5</v>
      </c>
      <c r="AK78" s="79"/>
      <c r="AL78" s="236"/>
      <c r="AM78" s="226"/>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 r="A79" s="30"/>
      <c r="B79" s="142" t="s">
        <v>26</v>
      </c>
      <c r="C79" s="138" t="s">
        <v>311</v>
      </c>
      <c r="D79" s="134"/>
      <c r="E79" s="259" t="s">
        <v>312</v>
      </c>
      <c r="F79" s="259" t="s">
        <v>2002</v>
      </c>
      <c r="G79" s="260">
        <f>COUNTA(G80:G83)</f>
        <v>4</v>
      </c>
      <c r="H79" s="136"/>
      <c r="I79" s="228" t="s">
        <v>38</v>
      </c>
      <c r="J79" s="331">
        <f>MIN(J80:J83)</f>
        <v>45621</v>
      </c>
      <c r="K79" s="228"/>
      <c r="L79" s="257">
        <f>MIN(L80:L83)</f>
        <v>45622</v>
      </c>
      <c r="M79" s="258">
        <f>MAX(M80:M83)</f>
        <v>45628</v>
      </c>
      <c r="N79" s="279">
        <f>SUMPRODUCT(N80:N83,T80:T83)/SUM(T80:T83)</f>
        <v>0</v>
      </c>
      <c r="O79" s="279">
        <f ca="1">SUMPRODUCT(O80:O83,T80:T83)/SUM(T80:T83)</f>
        <v>0</v>
      </c>
      <c r="P79" s="274">
        <f t="shared" ca="1" si="6"/>
        <v>0</v>
      </c>
      <c r="Q79" s="283"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290"/>
      <c r="BB79" s="264"/>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outlineLevel="1">
      <c r="A80" s="30" t="str">
        <f t="shared" si="5"/>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332">
        <v>45621</v>
      </c>
      <c r="K80" s="228"/>
      <c r="L80" s="278">
        <f t="array" ref="L80">MIN(IF(V80:CH80&gt;0,$V$16:$CH$16))</f>
        <v>45622</v>
      </c>
      <c r="M80" s="277">
        <f t="array" ref="M80">MAX(IF(V80:CH80&gt;0,$V$16:$CH$16))</f>
        <v>45623</v>
      </c>
      <c r="N80" s="275">
        <f>VLOOKUP(H80,Auxiliar!$B$16:$E$24,4,0)</f>
        <v>0</v>
      </c>
      <c r="O80" s="275">
        <f t="shared" ref="O80:O83" ca="1" si="17">IF(TODAY()&lt;=L80,0,MIN((TODAY()-L80)/(M80-L80+1),100%))</f>
        <v>0</v>
      </c>
      <c r="P80" s="274">
        <f t="shared" ca="1" si="6"/>
        <v>0</v>
      </c>
      <c r="Q80" s="283" t="s">
        <v>38</v>
      </c>
      <c r="R80" s="229"/>
      <c r="S80" s="223">
        <v>16.100000000000001</v>
      </c>
      <c r="T80" s="223">
        <f t="shared" si="7"/>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290"/>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outlineLevel="1">
      <c r="A81" s="30" t="str">
        <f t="shared" si="5"/>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332">
        <v>45621</v>
      </c>
      <c r="K81" s="228"/>
      <c r="L81" s="278">
        <f t="array" ref="L81">MIN(IF(V81:CH81&gt;0,$V$16:$CH$16))</f>
        <v>45624</v>
      </c>
      <c r="M81" s="277">
        <f t="array" ref="M81">MAX(IF(V81:CH81&gt;0,$V$16:$CH$16))</f>
        <v>45625</v>
      </c>
      <c r="N81" s="275">
        <f>VLOOKUP(H81,Auxiliar!$B$16:$E$24,4,0)</f>
        <v>0</v>
      </c>
      <c r="O81" s="275">
        <f t="shared" ca="1" si="17"/>
        <v>0</v>
      </c>
      <c r="P81" s="274">
        <f t="shared" ca="1" si="6"/>
        <v>0</v>
      </c>
      <c r="Q81" s="283" t="s">
        <v>38</v>
      </c>
      <c r="R81" s="229"/>
      <c r="S81" s="223">
        <v>16.100000000000001</v>
      </c>
      <c r="T81" s="223">
        <f t="shared" si="7"/>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290"/>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outlineLevel="1">
      <c r="A82" s="30" t="str">
        <f t="shared" si="5"/>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332">
        <v>45621</v>
      </c>
      <c r="K82" s="228"/>
      <c r="L82" s="278">
        <f t="array" ref="L82">MIN(IF(V82:CH82&gt;0,$V$16:$CH$16))</f>
        <v>45628</v>
      </c>
      <c r="M82" s="277">
        <f t="array" ref="M82">MAX(IF(V82:CH82&gt;0,$V$16:$CH$16))</f>
        <v>45628</v>
      </c>
      <c r="N82" s="275">
        <f>VLOOKUP(H82,Auxiliar!$B$16:$E$24,4,0)</f>
        <v>0</v>
      </c>
      <c r="O82" s="275">
        <f t="shared" ca="1" si="17"/>
        <v>0</v>
      </c>
      <c r="P82" s="274">
        <f t="shared" ref="P82:P145" ca="1" si="18">N82-O82</f>
        <v>0</v>
      </c>
      <c r="Q82" s="283" t="s">
        <v>38</v>
      </c>
      <c r="R82" s="229"/>
      <c r="S82" s="223">
        <v>4.0999999999999996</v>
      </c>
      <c r="T82" s="223">
        <f t="shared" si="7"/>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290"/>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outlineLevel="1">
      <c r="A83" s="30" t="str">
        <f t="shared" si="5"/>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332">
        <v>45621</v>
      </c>
      <c r="K83" s="228"/>
      <c r="L83" s="278">
        <f t="array" ref="L83">MIN(IF(V83:CH83&gt;0,$V$16:$CH$16))</f>
        <v>45628</v>
      </c>
      <c r="M83" s="277">
        <f t="array" ref="M83">MAX(IF(V83:CH83&gt;0,$V$16:$CH$16))</f>
        <v>45628</v>
      </c>
      <c r="N83" s="275">
        <f>VLOOKUP(H83,Auxiliar!$B$16:$E$24,4,0)</f>
        <v>0</v>
      </c>
      <c r="O83" s="275">
        <f t="shared" ca="1" si="17"/>
        <v>0</v>
      </c>
      <c r="P83" s="274">
        <f t="shared" ca="1" si="18"/>
        <v>0</v>
      </c>
      <c r="Q83" s="283" t="s">
        <v>38</v>
      </c>
      <c r="R83" s="229"/>
      <c r="S83" s="223">
        <v>4.0999999999999996</v>
      </c>
      <c r="T83" s="223">
        <f t="shared" si="7"/>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290"/>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 r="A84" s="30"/>
      <c r="B84" s="142" t="s">
        <v>26</v>
      </c>
      <c r="C84" s="138" t="s">
        <v>311</v>
      </c>
      <c r="D84" s="134"/>
      <c r="E84" s="259" t="s">
        <v>326</v>
      </c>
      <c r="F84" s="259" t="s">
        <v>1981</v>
      </c>
      <c r="G84" s="260">
        <f>COUNTA(G85:G104)</f>
        <v>20</v>
      </c>
      <c r="H84" s="136"/>
      <c r="I84" s="228" t="s">
        <v>38</v>
      </c>
      <c r="J84" s="257">
        <f>MIN(J85:J104)</f>
        <v>45614</v>
      </c>
      <c r="K84" s="153">
        <v>45615</v>
      </c>
      <c r="L84" s="257">
        <f>MIN(L85:L104)</f>
        <v>45615</v>
      </c>
      <c r="M84" s="258">
        <f>MAX(M85:M104)</f>
        <v>45632</v>
      </c>
      <c r="N84" s="279">
        <f>SUMPRODUCT(N85:N104,T85:T104)/SUM(T85:T104)</f>
        <v>0.25</v>
      </c>
      <c r="O84" s="279">
        <f ca="1">SUMPRODUCT(O85:O104,T85:T104)/SUM(T85:T104)</f>
        <v>0.2857142857142857</v>
      </c>
      <c r="P84" s="343">
        <f t="shared" ca="1" si="18"/>
        <v>-3.5714285714285698E-2</v>
      </c>
      <c r="Q84" s="283" t="s">
        <v>2031</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226"/>
      <c r="AP84" s="79"/>
      <c r="AQ84" s="79"/>
      <c r="AR84" s="79"/>
      <c r="AS84" s="79"/>
      <c r="AT84" s="79"/>
      <c r="AU84" s="79"/>
      <c r="AV84" s="79"/>
      <c r="AW84" s="79"/>
      <c r="AX84" s="79"/>
      <c r="AY84" s="79"/>
      <c r="AZ84" s="79"/>
      <c r="BA84" s="79"/>
      <c r="BB84" s="264"/>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outlineLevel="1">
      <c r="A85" s="30" t="str">
        <f t="shared" si="5"/>
        <v>modesg_out_empr_info_nfincca_capex_enblng_algnd</v>
      </c>
      <c r="B85" s="142" t="s">
        <v>26</v>
      </c>
      <c r="C85" s="138" t="s">
        <v>311</v>
      </c>
      <c r="D85" s="252" t="s">
        <v>40</v>
      </c>
      <c r="E85" s="253" t="s">
        <v>326</v>
      </c>
      <c r="F85" s="253"/>
      <c r="G85" s="252" t="s">
        <v>250</v>
      </c>
      <c r="H85" s="254" t="str">
        <f>VLOOKUP(A85,'2. Status Detalhe Campos'!$A$7:$G$574,7,0)</f>
        <v>2.1 Em Teste</v>
      </c>
      <c r="I85" s="228" t="s">
        <v>38</v>
      </c>
      <c r="J85" s="153">
        <v>45614</v>
      </c>
      <c r="K85" s="153">
        <v>45615</v>
      </c>
      <c r="L85" s="278">
        <f t="array" ref="L85">MIN(IF(V85:CH85&gt;0,$V$16:$CH$16))</f>
        <v>45615</v>
      </c>
      <c r="M85" s="277">
        <f t="array" ref="M85">MAX(IF(V85:CH85&gt;0,$V$16:$CH$16))</f>
        <v>45615</v>
      </c>
      <c r="N85" s="275">
        <f>VLOOKUP(H85,Auxiliar!$B$16:$E$24,4,0)</f>
        <v>0.25</v>
      </c>
      <c r="O85" s="275">
        <f t="shared" ref="O85:O104" ca="1" si="19">IF(TODAY()&lt;=L85,0,MIN((TODAY()-L85)/(M85-L85+1),100%))</f>
        <v>1</v>
      </c>
      <c r="P85" s="274">
        <f t="shared" ca="1" si="18"/>
        <v>-0.75</v>
      </c>
      <c r="Q85" s="283" t="s">
        <v>38</v>
      </c>
      <c r="R85" s="229"/>
      <c r="S85" s="223">
        <v>16.100000000000001</v>
      </c>
      <c r="T85" s="232">
        <v>1</v>
      </c>
      <c r="U85" s="223">
        <f t="shared" ref="U85:U104" si="20">SUM(V85:CH85)-T85</f>
        <v>-0.5</v>
      </c>
      <c r="V85" s="79"/>
      <c r="W85" s="79"/>
      <c r="X85" s="79"/>
      <c r="Y85" s="79"/>
      <c r="Z85" s="79"/>
      <c r="AA85" s="79"/>
      <c r="AB85" s="79"/>
      <c r="AC85" s="92"/>
      <c r="AD85" s="79"/>
      <c r="AE85" s="79"/>
      <c r="AF85" s="79"/>
      <c r="AG85" s="79"/>
      <c r="AH85" s="79"/>
      <c r="AI85" s="79"/>
      <c r="AJ85" s="79"/>
      <c r="AK85" s="79"/>
      <c r="AL85" s="79"/>
      <c r="AM85" s="79"/>
      <c r="AN85" s="230"/>
      <c r="AO85" s="226">
        <v>0.5</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outlineLevel="1">
      <c r="A86" s="30" t="str">
        <f t="shared" si="5"/>
        <v>modesg_out_empr_info_nfincca_capex_own_prfrmnce_algnd</v>
      </c>
      <c r="B86" s="142" t="s">
        <v>26</v>
      </c>
      <c r="C86" s="138" t="s">
        <v>311</v>
      </c>
      <c r="D86" s="252" t="s">
        <v>40</v>
      </c>
      <c r="E86" s="253" t="s">
        <v>326</v>
      </c>
      <c r="F86" s="253"/>
      <c r="G86" s="252" t="s">
        <v>251</v>
      </c>
      <c r="H86" s="254" t="str">
        <f>VLOOKUP(A86,'2. Status Detalhe Campos'!$A$7:$G$574,7,0)</f>
        <v>2.1 Em Teste</v>
      </c>
      <c r="I86" s="228" t="s">
        <v>38</v>
      </c>
      <c r="J86" s="153">
        <v>45614</v>
      </c>
      <c r="K86" s="153">
        <v>45615</v>
      </c>
      <c r="L86" s="278">
        <f t="array" ref="L86">MIN(IF(V86:CH86&gt;0,$V$16:$CH$16))</f>
        <v>45616</v>
      </c>
      <c r="M86" s="277">
        <f t="array" ref="M86">MAX(IF(V86:CH86&gt;0,$V$16:$CH$16))</f>
        <v>45616</v>
      </c>
      <c r="N86" s="275">
        <f>VLOOKUP(H86,Auxiliar!$B$16:$E$24,4,0)</f>
        <v>0.25</v>
      </c>
      <c r="O86" s="275">
        <f t="shared" ca="1" si="19"/>
        <v>1</v>
      </c>
      <c r="P86" s="274">
        <f t="shared" ca="1" si="18"/>
        <v>-0.75</v>
      </c>
      <c r="Q86" s="283" t="s">
        <v>38</v>
      </c>
      <c r="R86" s="229"/>
      <c r="S86" s="223">
        <v>16.100000000000001</v>
      </c>
      <c r="T86" s="232">
        <v>1</v>
      </c>
      <c r="U86" s="223">
        <f t="shared" si="20"/>
        <v>0</v>
      </c>
      <c r="V86" s="79"/>
      <c r="W86" s="79"/>
      <c r="X86" s="79"/>
      <c r="Y86" s="79"/>
      <c r="Z86" s="79"/>
      <c r="AA86" s="79"/>
      <c r="AB86" s="79"/>
      <c r="AC86" s="92"/>
      <c r="AD86" s="79"/>
      <c r="AE86" s="79"/>
      <c r="AF86" s="79"/>
      <c r="AG86" s="79"/>
      <c r="AH86" s="79"/>
      <c r="AI86" s="79"/>
      <c r="AJ86" s="79"/>
      <c r="AK86" s="79"/>
      <c r="AL86" s="79"/>
      <c r="AM86" s="79"/>
      <c r="AN86" s="230"/>
      <c r="AO86" s="226"/>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outlineLevel="1">
      <c r="A87" s="30" t="str">
        <f t="shared" ref="A87:A168" si="21">E87&amp;G87</f>
        <v>modesg_out_empr_info_nfincca_capex_ttl_elgbl</v>
      </c>
      <c r="B87" s="142" t="s">
        <v>26</v>
      </c>
      <c r="C87" s="138" t="s">
        <v>311</v>
      </c>
      <c r="D87" s="252" t="s">
        <v>40</v>
      </c>
      <c r="E87" s="253" t="s">
        <v>326</v>
      </c>
      <c r="F87" s="253"/>
      <c r="G87" s="252" t="s">
        <v>249</v>
      </c>
      <c r="H87" s="254" t="str">
        <f>VLOOKUP(A87,'2. Status Detalhe Campos'!$A$7:$G$574,7,0)</f>
        <v>2.1 Em Teste</v>
      </c>
      <c r="I87" s="228" t="s">
        <v>38</v>
      </c>
      <c r="J87" s="153">
        <v>45614</v>
      </c>
      <c r="K87" s="153">
        <v>45615</v>
      </c>
      <c r="L87" s="278">
        <f t="array" ref="L87">MIN(IF(V87:CH87&gt;0,$V$16:$CH$16))</f>
        <v>45617</v>
      </c>
      <c r="M87" s="277">
        <f t="array" ref="M87">MAX(IF(V87:CH87&gt;0,$V$16:$CH$16))</f>
        <v>45617</v>
      </c>
      <c r="N87" s="275">
        <f>VLOOKUP(H87,Auxiliar!$B$16:$E$24,4,0)</f>
        <v>0.25</v>
      </c>
      <c r="O87" s="275">
        <f t="shared" ca="1" si="19"/>
        <v>1</v>
      </c>
      <c r="P87" s="274">
        <f t="shared" ca="1" si="18"/>
        <v>-0.75</v>
      </c>
      <c r="Q87" s="283" t="s">
        <v>38</v>
      </c>
      <c r="R87" s="229"/>
      <c r="S87" s="223">
        <v>16.100000000000001</v>
      </c>
      <c r="T87" s="232">
        <v>1</v>
      </c>
      <c r="U87" s="223">
        <f t="shared" si="20"/>
        <v>0</v>
      </c>
      <c r="V87" s="79"/>
      <c r="W87" s="79"/>
      <c r="X87" s="79"/>
      <c r="Y87" s="79"/>
      <c r="Z87" s="79"/>
      <c r="AA87" s="79"/>
      <c r="AB87" s="79"/>
      <c r="AC87" s="92"/>
      <c r="AD87" s="79"/>
      <c r="AE87" s="79"/>
      <c r="AF87" s="79"/>
      <c r="AG87" s="79"/>
      <c r="AH87" s="79"/>
      <c r="AI87" s="79"/>
      <c r="AJ87" s="79"/>
      <c r="AK87" s="79"/>
      <c r="AL87" s="79"/>
      <c r="AM87" s="79"/>
      <c r="AN87" s="230"/>
      <c r="AO87" s="226"/>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outlineLevel="1">
      <c r="A88" s="30" t="str">
        <f t="shared" si="21"/>
        <v>modesg_out_empr_info_nfincca_trnvr_enblng_alignd</v>
      </c>
      <c r="B88" s="142" t="s">
        <v>26</v>
      </c>
      <c r="C88" s="138" t="s">
        <v>311</v>
      </c>
      <c r="D88" s="252" t="s">
        <v>40</v>
      </c>
      <c r="E88" s="253" t="s">
        <v>326</v>
      </c>
      <c r="F88" s="253"/>
      <c r="G88" s="252" t="s">
        <v>247</v>
      </c>
      <c r="H88" s="254" t="str">
        <f>VLOOKUP(A88,'2. Status Detalhe Campos'!$A$7:$G$574,7,0)</f>
        <v>2.1 Em Teste</v>
      </c>
      <c r="I88" s="228" t="s">
        <v>38</v>
      </c>
      <c r="J88" s="153">
        <v>45614</v>
      </c>
      <c r="K88" s="153">
        <v>45615</v>
      </c>
      <c r="L88" s="278">
        <f t="array" ref="L88">MIN(IF(V88:CH88&gt;0,$V$16:$CH$16))</f>
        <v>45618</v>
      </c>
      <c r="M88" s="277">
        <f t="array" ref="M88">MAX(IF(V88:CH88&gt;0,$V$16:$CH$16))</f>
        <v>45618</v>
      </c>
      <c r="N88" s="275">
        <f>VLOOKUP(H88,Auxiliar!$B$16:$E$24,4,0)</f>
        <v>0.25</v>
      </c>
      <c r="O88" s="275">
        <f t="shared" ca="1" si="19"/>
        <v>1</v>
      </c>
      <c r="P88" s="274">
        <f t="shared" ca="1" si="18"/>
        <v>-0.75</v>
      </c>
      <c r="Q88" s="283" t="s">
        <v>38</v>
      </c>
      <c r="R88" s="229"/>
      <c r="S88" s="233">
        <v>4</v>
      </c>
      <c r="T88" s="223">
        <f t="shared" ref="T88:T169" si="22">ROUND(S88/8,1)</f>
        <v>0.5</v>
      </c>
      <c r="U88" s="223">
        <f t="shared" si="20"/>
        <v>0</v>
      </c>
      <c r="V88" s="79"/>
      <c r="W88" s="79"/>
      <c r="X88" s="79"/>
      <c r="Y88" s="79"/>
      <c r="Z88" s="79"/>
      <c r="AA88" s="79"/>
      <c r="AB88" s="79"/>
      <c r="AC88" s="92"/>
      <c r="AD88" s="79"/>
      <c r="AE88" s="79"/>
      <c r="AF88" s="79"/>
      <c r="AG88" s="79"/>
      <c r="AH88" s="79"/>
      <c r="AI88" s="79"/>
      <c r="AJ88" s="79"/>
      <c r="AK88" s="79"/>
      <c r="AL88" s="79"/>
      <c r="AM88" s="79"/>
      <c r="AN88" s="230"/>
      <c r="AO88" s="226"/>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outlineLevel="1">
      <c r="A89" s="30" t="str">
        <f t="shared" si="21"/>
        <v>modesg_out_empr_info_nfincca_trnvr_ttl_elgbl</v>
      </c>
      <c r="B89" s="142" t="s">
        <v>26</v>
      </c>
      <c r="C89" s="138" t="s">
        <v>311</v>
      </c>
      <c r="D89" s="252" t="s">
        <v>40</v>
      </c>
      <c r="E89" s="253" t="s">
        <v>326</v>
      </c>
      <c r="F89" s="253"/>
      <c r="G89" s="252" t="s">
        <v>246</v>
      </c>
      <c r="H89" s="254" t="str">
        <f>VLOOKUP(A89,'2. Status Detalhe Campos'!$A$7:$G$574,7,0)</f>
        <v>2.1 Em Teste</v>
      </c>
      <c r="I89" s="228" t="s">
        <v>38</v>
      </c>
      <c r="J89" s="153">
        <v>45614</v>
      </c>
      <c r="K89" s="153">
        <v>45615</v>
      </c>
      <c r="L89" s="278">
        <f t="array" ref="L89">MIN(IF(V89:CH89&gt;0,$V$16:$CH$16))</f>
        <v>45618</v>
      </c>
      <c r="M89" s="277">
        <f t="array" ref="M89">MAX(IF(V89:CH89&gt;0,$V$16:$CH$16))</f>
        <v>45618</v>
      </c>
      <c r="N89" s="275">
        <f>VLOOKUP(H89,Auxiliar!$B$16:$E$24,4,0)</f>
        <v>0.25</v>
      </c>
      <c r="O89" s="275">
        <f t="shared" ca="1" si="19"/>
        <v>1</v>
      </c>
      <c r="P89" s="274">
        <f t="shared" ca="1" si="18"/>
        <v>-0.75</v>
      </c>
      <c r="Q89" s="283" t="s">
        <v>38</v>
      </c>
      <c r="R89" s="229"/>
      <c r="S89" s="233">
        <v>4</v>
      </c>
      <c r="T89" s="223">
        <f t="shared" si="22"/>
        <v>0.5</v>
      </c>
      <c r="U89" s="223">
        <f t="shared" si="20"/>
        <v>0</v>
      </c>
      <c r="V89" s="79"/>
      <c r="W89" s="79"/>
      <c r="X89" s="79"/>
      <c r="Y89" s="79"/>
      <c r="Z89" s="79"/>
      <c r="AA89" s="79"/>
      <c r="AB89" s="79"/>
      <c r="AC89" s="92"/>
      <c r="AD89" s="79"/>
      <c r="AE89" s="79"/>
      <c r="AF89" s="79"/>
      <c r="AG89" s="79"/>
      <c r="AH89" s="79"/>
      <c r="AI89" s="79"/>
      <c r="AJ89" s="79"/>
      <c r="AK89" s="79"/>
      <c r="AL89" s="79"/>
      <c r="AM89" s="79"/>
      <c r="AN89" s="230"/>
      <c r="AO89" s="226"/>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outlineLevel="1">
      <c r="A90" s="30" t="str">
        <f t="shared" si="21"/>
        <v>modesg_out_empr_info_nfincca_turnover_own_prfrmnce_algnd</v>
      </c>
      <c r="B90" s="142" t="s">
        <v>26</v>
      </c>
      <c r="C90" s="138" t="s">
        <v>311</v>
      </c>
      <c r="D90" s="252" t="s">
        <v>40</v>
      </c>
      <c r="E90" s="253" t="s">
        <v>326</v>
      </c>
      <c r="F90" s="253"/>
      <c r="G90" s="252" t="s">
        <v>248</v>
      </c>
      <c r="H90" s="254" t="str">
        <f>VLOOKUP(A90,'2. Status Detalhe Campos'!$A$7:$G$574,7,0)</f>
        <v>2.1 Em Teste</v>
      </c>
      <c r="I90" s="228" t="s">
        <v>38</v>
      </c>
      <c r="J90" s="153">
        <v>45614</v>
      </c>
      <c r="K90" s="153">
        <v>45615</v>
      </c>
      <c r="L90" s="278">
        <f t="array" ref="L90">MIN(IF(V90:CH90&gt;0,$V$16:$CH$16))</f>
        <v>45621</v>
      </c>
      <c r="M90" s="277">
        <f t="array" ref="M90">MAX(IF(V90:CH90&gt;0,$V$16:$CH$16))</f>
        <v>45621</v>
      </c>
      <c r="N90" s="275">
        <f>VLOOKUP(H90,Auxiliar!$B$16:$E$24,4,0)</f>
        <v>0.25</v>
      </c>
      <c r="O90" s="275">
        <f t="shared" ca="1" si="19"/>
        <v>0</v>
      </c>
      <c r="P90" s="274">
        <f t="shared" ca="1" si="18"/>
        <v>0.25</v>
      </c>
      <c r="Q90" s="283" t="s">
        <v>38</v>
      </c>
      <c r="R90" s="229"/>
      <c r="S90" s="233">
        <v>4</v>
      </c>
      <c r="T90" s="223">
        <f t="shared" si="22"/>
        <v>0.5</v>
      </c>
      <c r="U90" s="223">
        <f t="shared" si="20"/>
        <v>0</v>
      </c>
      <c r="V90" s="79"/>
      <c r="W90" s="79"/>
      <c r="X90" s="79"/>
      <c r="Y90" s="79"/>
      <c r="Z90" s="79"/>
      <c r="AA90" s="79"/>
      <c r="AB90" s="79"/>
      <c r="AC90" s="92"/>
      <c r="AD90" s="79"/>
      <c r="AE90" s="79"/>
      <c r="AF90" s="79"/>
      <c r="AG90" s="79"/>
      <c r="AH90" s="79"/>
      <c r="AI90" s="79"/>
      <c r="AJ90" s="79"/>
      <c r="AK90" s="79"/>
      <c r="AL90" s="79"/>
      <c r="AM90" s="79"/>
      <c r="AN90" s="230"/>
      <c r="AO90" s="226"/>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outlineLevel="1">
      <c r="A91" s="30" t="str">
        <f t="shared" si="21"/>
        <v>modesg_out_empr_info_nfinccm_capex_enblng_algnd</v>
      </c>
      <c r="B91" s="142" t="s">
        <v>26</v>
      </c>
      <c r="C91" s="138" t="s">
        <v>311</v>
      </c>
      <c r="D91" s="252" t="s">
        <v>40</v>
      </c>
      <c r="E91" s="253" t="s">
        <v>326</v>
      </c>
      <c r="F91" s="253"/>
      <c r="G91" s="252" t="s">
        <v>257</v>
      </c>
      <c r="H91" s="254" t="str">
        <f>VLOOKUP(A91,'2. Status Detalhe Campos'!$A$7:$G$574,7,0)</f>
        <v>2.1 Em Teste</v>
      </c>
      <c r="I91" s="228" t="s">
        <v>38</v>
      </c>
      <c r="J91" s="153">
        <v>45614</v>
      </c>
      <c r="K91" s="153">
        <v>45615</v>
      </c>
      <c r="L91" s="278">
        <f t="array" ref="L91">MIN(IF(V91:CH91&gt;0,$V$16:$CH$16))</f>
        <v>45621</v>
      </c>
      <c r="M91" s="277">
        <f t="array" ref="M91">MAX(IF(V91:CH91&gt;0,$V$16:$CH$16))</f>
        <v>45621</v>
      </c>
      <c r="N91" s="275">
        <f>VLOOKUP(H91,Auxiliar!$B$16:$E$24,4,0)</f>
        <v>0.25</v>
      </c>
      <c r="O91" s="275">
        <f t="shared" ca="1" si="19"/>
        <v>0</v>
      </c>
      <c r="P91" s="274">
        <f t="shared" ca="1" si="18"/>
        <v>0.25</v>
      </c>
      <c r="Q91" s="283" t="s">
        <v>38</v>
      </c>
      <c r="R91" s="229"/>
      <c r="S91" s="233">
        <v>4</v>
      </c>
      <c r="T91" s="223">
        <f t="shared" si="22"/>
        <v>0.5</v>
      </c>
      <c r="U91" s="223">
        <f t="shared" si="20"/>
        <v>0</v>
      </c>
      <c r="V91" s="79"/>
      <c r="W91" s="79"/>
      <c r="X91" s="79"/>
      <c r="Y91" s="79"/>
      <c r="Z91" s="79"/>
      <c r="AA91" s="79"/>
      <c r="AB91" s="79"/>
      <c r="AC91" s="92"/>
      <c r="AD91" s="79"/>
      <c r="AE91" s="79"/>
      <c r="AF91" s="79"/>
      <c r="AG91" s="79"/>
      <c r="AH91" s="79"/>
      <c r="AI91" s="79"/>
      <c r="AJ91" s="79"/>
      <c r="AK91" s="79"/>
      <c r="AL91" s="79"/>
      <c r="AM91" s="79"/>
      <c r="AN91" s="230"/>
      <c r="AO91" s="226"/>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outlineLevel="1">
      <c r="A92" s="30" t="str">
        <f t="shared" si="21"/>
        <v>modesg_out_empr_info_nfinccm_capex_own_prfrmnce_algnd</v>
      </c>
      <c r="B92" s="142" t="s">
        <v>26</v>
      </c>
      <c r="C92" s="138" t="s">
        <v>311</v>
      </c>
      <c r="D92" s="252" t="s">
        <v>40</v>
      </c>
      <c r="E92" s="253" t="s">
        <v>326</v>
      </c>
      <c r="F92" s="253"/>
      <c r="G92" s="252" t="s">
        <v>259</v>
      </c>
      <c r="H92" s="254" t="str">
        <f>VLOOKUP(A92,'2. Status Detalhe Campos'!$A$7:$G$574,7,0)</f>
        <v>2.1 Em Teste</v>
      </c>
      <c r="I92" s="228" t="s">
        <v>38</v>
      </c>
      <c r="J92" s="153">
        <v>45614</v>
      </c>
      <c r="K92" s="153">
        <v>45615</v>
      </c>
      <c r="L92" s="278">
        <f t="array" ref="L92">MIN(IF(V92:CH92&gt;0,$V$16:$CH$16))</f>
        <v>45622</v>
      </c>
      <c r="M92" s="277">
        <f t="array" ref="M92">MAX(IF(V92:CH92&gt;0,$V$16:$CH$16))</f>
        <v>45622</v>
      </c>
      <c r="N92" s="275">
        <f>VLOOKUP(H92,Auxiliar!$B$16:$E$24,4,0)</f>
        <v>0.25</v>
      </c>
      <c r="O92" s="275">
        <f t="shared" ca="1" si="19"/>
        <v>0</v>
      </c>
      <c r="P92" s="274">
        <f t="shared" ca="1" si="18"/>
        <v>0.25</v>
      </c>
      <c r="Q92" s="283" t="s">
        <v>38</v>
      </c>
      <c r="R92" s="229"/>
      <c r="S92" s="233">
        <v>4</v>
      </c>
      <c r="T92" s="223">
        <f t="shared" si="22"/>
        <v>0.5</v>
      </c>
      <c r="U92" s="223">
        <f t="shared" si="20"/>
        <v>0</v>
      </c>
      <c r="V92" s="79"/>
      <c r="W92" s="79"/>
      <c r="X92" s="79"/>
      <c r="Y92" s="79"/>
      <c r="Z92" s="79"/>
      <c r="AA92" s="79"/>
      <c r="AB92" s="79"/>
      <c r="AC92" s="92"/>
      <c r="AD92" s="79"/>
      <c r="AE92" s="79"/>
      <c r="AF92" s="79"/>
      <c r="AG92" s="79"/>
      <c r="AH92" s="79"/>
      <c r="AI92" s="79"/>
      <c r="AJ92" s="79"/>
      <c r="AK92" s="79"/>
      <c r="AL92" s="79"/>
      <c r="AM92" s="79"/>
      <c r="AN92" s="230"/>
      <c r="AO92" s="226"/>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outlineLevel="1">
      <c r="A93" s="30" t="str">
        <f t="shared" si="21"/>
        <v>modesg_out_empr_info_nfinccm_capex_trnstn_algnd</v>
      </c>
      <c r="B93" s="142" t="s">
        <v>26</v>
      </c>
      <c r="C93" s="138" t="s">
        <v>311</v>
      </c>
      <c r="D93" s="252" t="s">
        <v>40</v>
      </c>
      <c r="E93" s="253" t="s">
        <v>326</v>
      </c>
      <c r="F93" s="253"/>
      <c r="G93" s="252" t="s">
        <v>258</v>
      </c>
      <c r="H93" s="254" t="str">
        <f>VLOOKUP(A93,'2. Status Detalhe Campos'!$A$7:$G$574,7,0)</f>
        <v>2.1 Em Teste</v>
      </c>
      <c r="I93" s="228" t="s">
        <v>38</v>
      </c>
      <c r="J93" s="153">
        <v>45614</v>
      </c>
      <c r="K93" s="153">
        <v>45615</v>
      </c>
      <c r="L93" s="278">
        <f t="array" ref="L93">MIN(IF(V93:CH93&gt;0,$V$16:$CH$16))</f>
        <v>45622</v>
      </c>
      <c r="M93" s="277">
        <f t="array" ref="M93">MAX(IF(V93:CH93&gt;0,$V$16:$CH$16))</f>
        <v>45622</v>
      </c>
      <c r="N93" s="275">
        <f>VLOOKUP(H93,Auxiliar!$B$16:$E$24,4,0)</f>
        <v>0.25</v>
      </c>
      <c r="O93" s="275">
        <f t="shared" ca="1" si="19"/>
        <v>0</v>
      </c>
      <c r="P93" s="274">
        <f t="shared" ca="1" si="18"/>
        <v>0.25</v>
      </c>
      <c r="Q93" s="283" t="s">
        <v>38</v>
      </c>
      <c r="R93" s="229"/>
      <c r="S93" s="233">
        <v>4</v>
      </c>
      <c r="T93" s="223">
        <f t="shared" si="22"/>
        <v>0.5</v>
      </c>
      <c r="U93" s="223">
        <f t="shared" si="20"/>
        <v>0</v>
      </c>
      <c r="V93" s="79"/>
      <c r="W93" s="79"/>
      <c r="X93" s="79"/>
      <c r="Y93" s="79"/>
      <c r="Z93" s="79"/>
      <c r="AA93" s="79"/>
      <c r="AB93" s="79"/>
      <c r="AC93" s="92"/>
      <c r="AD93" s="79"/>
      <c r="AE93" s="79"/>
      <c r="AF93" s="79"/>
      <c r="AG93" s="79"/>
      <c r="AH93" s="79"/>
      <c r="AI93" s="79"/>
      <c r="AJ93" s="79"/>
      <c r="AK93" s="79"/>
      <c r="AL93" s="79"/>
      <c r="AM93" s="79"/>
      <c r="AN93" s="230"/>
      <c r="AO93" s="226"/>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outlineLevel="1">
      <c r="A94" s="30" t="str">
        <f t="shared" si="21"/>
        <v>modesg_out_empr_info_nfinccm_capex_ttl_elgbl</v>
      </c>
      <c r="B94" s="142" t="s">
        <v>26</v>
      </c>
      <c r="C94" s="138" t="s">
        <v>311</v>
      </c>
      <c r="D94" s="252" t="s">
        <v>40</v>
      </c>
      <c r="E94" s="253" t="s">
        <v>326</v>
      </c>
      <c r="F94" s="253"/>
      <c r="G94" s="252" t="s">
        <v>256</v>
      </c>
      <c r="H94" s="254" t="str">
        <f>VLOOKUP(A94,'2. Status Detalhe Campos'!$A$7:$G$574,7,0)</f>
        <v>2.1 Em Teste</v>
      </c>
      <c r="I94" s="228" t="s">
        <v>38</v>
      </c>
      <c r="J94" s="153">
        <v>45614</v>
      </c>
      <c r="K94" s="153">
        <v>45615</v>
      </c>
      <c r="L94" s="278">
        <f t="array" ref="L94">MIN(IF(V94:CH94&gt;0,$V$16:$CH$16))</f>
        <v>45623</v>
      </c>
      <c r="M94" s="277">
        <f t="array" ref="M94">MAX(IF(V94:CH94&gt;0,$V$16:$CH$16))</f>
        <v>45623</v>
      </c>
      <c r="N94" s="275">
        <f>VLOOKUP(H94,Auxiliar!$B$16:$E$24,4,0)</f>
        <v>0.25</v>
      </c>
      <c r="O94" s="275">
        <f t="shared" ca="1" si="19"/>
        <v>0</v>
      </c>
      <c r="P94" s="274">
        <f t="shared" ca="1" si="18"/>
        <v>0.25</v>
      </c>
      <c r="Q94" s="283" t="s">
        <v>38</v>
      </c>
      <c r="R94" s="229"/>
      <c r="S94" s="233">
        <v>4</v>
      </c>
      <c r="T94" s="223">
        <f t="shared" si="22"/>
        <v>0.5</v>
      </c>
      <c r="U94" s="223">
        <f t="shared" si="20"/>
        <v>0</v>
      </c>
      <c r="V94" s="79"/>
      <c r="W94" s="79"/>
      <c r="X94" s="79"/>
      <c r="Y94" s="79"/>
      <c r="Z94" s="79"/>
      <c r="AA94" s="79"/>
      <c r="AB94" s="79"/>
      <c r="AC94" s="92"/>
      <c r="AD94" s="79"/>
      <c r="AE94" s="79"/>
      <c r="AF94" s="79"/>
      <c r="AG94" s="79"/>
      <c r="AH94" s="79"/>
      <c r="AI94" s="79"/>
      <c r="AJ94" s="79"/>
      <c r="AK94" s="79"/>
      <c r="AL94" s="79"/>
      <c r="AM94" s="79"/>
      <c r="AN94" s="230"/>
      <c r="AO94" s="226"/>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outlineLevel="1">
      <c r="A95" s="30" t="str">
        <f t="shared" si="21"/>
        <v>modesg_out_empr_info_nfinccm_trnvr_enblng_algnd</v>
      </c>
      <c r="B95" s="142" t="s">
        <v>26</v>
      </c>
      <c r="C95" s="138" t="s">
        <v>311</v>
      </c>
      <c r="D95" s="252" t="s">
        <v>40</v>
      </c>
      <c r="E95" s="253" t="s">
        <v>326</v>
      </c>
      <c r="F95" s="253"/>
      <c r="G95" s="252" t="s">
        <v>253</v>
      </c>
      <c r="H95" s="254" t="str">
        <f>VLOOKUP(A95,'2. Status Detalhe Campos'!$A$7:$G$574,7,0)</f>
        <v>2.1 Em Teste</v>
      </c>
      <c r="I95" s="228" t="s">
        <v>38</v>
      </c>
      <c r="J95" s="153">
        <v>45614</v>
      </c>
      <c r="K95" s="153">
        <v>45615</v>
      </c>
      <c r="L95" s="278">
        <f t="array" ref="L95">MIN(IF(V95:CH95&gt;0,$V$16:$CH$16))</f>
        <v>45623</v>
      </c>
      <c r="M95" s="277">
        <f t="array" ref="M95">MAX(IF(V95:CH95&gt;0,$V$16:$CH$16))</f>
        <v>45623</v>
      </c>
      <c r="N95" s="275">
        <f>VLOOKUP(H95,Auxiliar!$B$16:$E$24,4,0)</f>
        <v>0.25</v>
      </c>
      <c r="O95" s="275">
        <f t="shared" ca="1" si="19"/>
        <v>0</v>
      </c>
      <c r="P95" s="274">
        <f t="shared" ca="1" si="18"/>
        <v>0.25</v>
      </c>
      <c r="Q95" s="283" t="s">
        <v>38</v>
      </c>
      <c r="R95" s="229"/>
      <c r="S95" s="233">
        <v>4</v>
      </c>
      <c r="T95" s="223">
        <f t="shared" si="22"/>
        <v>0.5</v>
      </c>
      <c r="U95" s="223">
        <f t="shared" si="20"/>
        <v>0</v>
      </c>
      <c r="V95" s="79"/>
      <c r="W95" s="79"/>
      <c r="X95" s="79"/>
      <c r="Y95" s="79"/>
      <c r="Z95" s="79"/>
      <c r="AA95" s="79"/>
      <c r="AB95" s="79"/>
      <c r="AC95" s="92"/>
      <c r="AD95" s="79"/>
      <c r="AE95" s="79"/>
      <c r="AF95" s="79"/>
      <c r="AG95" s="79"/>
      <c r="AH95" s="79"/>
      <c r="AI95" s="79"/>
      <c r="AJ95" s="79"/>
      <c r="AK95" s="79"/>
      <c r="AL95" s="79"/>
      <c r="AM95" s="79"/>
      <c r="AN95" s="230"/>
      <c r="AO95" s="226"/>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outlineLevel="1">
      <c r="A96" s="30" t="str">
        <f t="shared" si="21"/>
        <v>modesg_out_empr_info_nfinccm_trnvr_own_prfrmnce_algnd</v>
      </c>
      <c r="B96" s="142" t="s">
        <v>26</v>
      </c>
      <c r="C96" s="138" t="s">
        <v>311</v>
      </c>
      <c r="D96" s="252" t="s">
        <v>40</v>
      </c>
      <c r="E96" s="253" t="s">
        <v>326</v>
      </c>
      <c r="F96" s="253"/>
      <c r="G96" s="252" t="s">
        <v>255</v>
      </c>
      <c r="H96" s="254" t="str">
        <f>VLOOKUP(A96,'2. Status Detalhe Campos'!$A$7:$G$574,7,0)</f>
        <v>2.1 Em Teste</v>
      </c>
      <c r="I96" s="228" t="s">
        <v>38</v>
      </c>
      <c r="J96" s="153">
        <v>45614</v>
      </c>
      <c r="K96" s="153">
        <v>45615</v>
      </c>
      <c r="L96" s="278">
        <f t="array" ref="L96">MIN(IF(V96:CH96&gt;0,$V$16:$CH$16))</f>
        <v>45624</v>
      </c>
      <c r="M96" s="277">
        <f t="array" ref="M96">MAX(IF(V96:CH96&gt;0,$V$16:$CH$16))</f>
        <v>45624</v>
      </c>
      <c r="N96" s="275">
        <f>VLOOKUP(H96,Auxiliar!$B$16:$E$24,4,0)</f>
        <v>0.25</v>
      </c>
      <c r="O96" s="275">
        <f t="shared" ca="1" si="19"/>
        <v>0</v>
      </c>
      <c r="P96" s="274">
        <f t="shared" ca="1" si="18"/>
        <v>0.25</v>
      </c>
      <c r="Q96" s="283" t="s">
        <v>38</v>
      </c>
      <c r="R96" s="229"/>
      <c r="S96" s="233">
        <v>4</v>
      </c>
      <c r="T96" s="223">
        <f t="shared" si="22"/>
        <v>0.5</v>
      </c>
      <c r="U96" s="223">
        <f t="shared" si="20"/>
        <v>0</v>
      </c>
      <c r="V96" s="79"/>
      <c r="W96" s="79"/>
      <c r="X96" s="79"/>
      <c r="Y96" s="79"/>
      <c r="Z96" s="79"/>
      <c r="AA96" s="79"/>
      <c r="AB96" s="79"/>
      <c r="AC96" s="92"/>
      <c r="AD96" s="79"/>
      <c r="AE96" s="79"/>
      <c r="AF96" s="79"/>
      <c r="AG96" s="79"/>
      <c r="AH96" s="79"/>
      <c r="AI96" s="79"/>
      <c r="AJ96" s="79"/>
      <c r="AK96" s="79"/>
      <c r="AL96" s="79"/>
      <c r="AM96" s="79"/>
      <c r="AN96" s="230"/>
      <c r="AO96" s="226"/>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outlineLevel="1">
      <c r="A97" s="30" t="str">
        <f t="shared" si="21"/>
        <v>modesg_out_empr_info_nfinccm_trnvr_trnstn_alignd</v>
      </c>
      <c r="B97" s="142" t="s">
        <v>26</v>
      </c>
      <c r="C97" s="138" t="s">
        <v>311</v>
      </c>
      <c r="D97" s="252" t="s">
        <v>40</v>
      </c>
      <c r="E97" s="253" t="s">
        <v>326</v>
      </c>
      <c r="F97" s="253"/>
      <c r="G97" s="252" t="s">
        <v>254</v>
      </c>
      <c r="H97" s="254" t="str">
        <f>VLOOKUP(A97,'2. Status Detalhe Campos'!$A$7:$G$574,7,0)</f>
        <v>2.1 Em Teste</v>
      </c>
      <c r="I97" s="228" t="s">
        <v>38</v>
      </c>
      <c r="J97" s="153">
        <v>45614</v>
      </c>
      <c r="K97" s="153">
        <v>45615</v>
      </c>
      <c r="L97" s="278">
        <f t="array" ref="L97">MIN(IF(V97:CH97&gt;0,$V$16:$CH$16))</f>
        <v>45624</v>
      </c>
      <c r="M97" s="277">
        <f t="array" ref="M97">MAX(IF(V97:CH97&gt;0,$V$16:$CH$16))</f>
        <v>45624</v>
      </c>
      <c r="N97" s="275">
        <f>VLOOKUP(H97,Auxiliar!$B$16:$E$24,4,0)</f>
        <v>0.25</v>
      </c>
      <c r="O97" s="275">
        <f t="shared" ca="1" si="19"/>
        <v>0</v>
      </c>
      <c r="P97" s="274">
        <f t="shared" ca="1" si="18"/>
        <v>0.25</v>
      </c>
      <c r="Q97" s="283" t="s">
        <v>38</v>
      </c>
      <c r="R97" s="229"/>
      <c r="S97" s="233">
        <v>4</v>
      </c>
      <c r="T97" s="223">
        <f t="shared" si="22"/>
        <v>0.5</v>
      </c>
      <c r="U97" s="223">
        <f t="shared" si="20"/>
        <v>0</v>
      </c>
      <c r="V97" s="79"/>
      <c r="W97" s="79"/>
      <c r="X97" s="79"/>
      <c r="Y97" s="79"/>
      <c r="Z97" s="79"/>
      <c r="AA97" s="79"/>
      <c r="AB97" s="79"/>
      <c r="AC97" s="92"/>
      <c r="AD97" s="79"/>
      <c r="AE97" s="79"/>
      <c r="AF97" s="79"/>
      <c r="AG97" s="79"/>
      <c r="AH97" s="79"/>
      <c r="AI97" s="79"/>
      <c r="AJ97" s="79"/>
      <c r="AK97" s="79"/>
      <c r="AL97" s="79"/>
      <c r="AM97" s="79"/>
      <c r="AN97" s="230"/>
      <c r="AO97" s="226"/>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outlineLevel="1">
      <c r="A98" s="30" t="str">
        <f t="shared" si="21"/>
        <v>modesg_out_empr_info_nfinccm_trnvr_ttl_elgbl</v>
      </c>
      <c r="B98" s="142" t="s">
        <v>26</v>
      </c>
      <c r="C98" s="138" t="s">
        <v>311</v>
      </c>
      <c r="D98" s="252" t="s">
        <v>40</v>
      </c>
      <c r="E98" s="253" t="s">
        <v>326</v>
      </c>
      <c r="F98" s="253"/>
      <c r="G98" s="252" t="s">
        <v>252</v>
      </c>
      <c r="H98" s="254" t="str">
        <f>VLOOKUP(A98,'2. Status Detalhe Campos'!$A$7:$G$574,7,0)</f>
        <v>2.1 Em Teste</v>
      </c>
      <c r="I98" s="228" t="s">
        <v>38</v>
      </c>
      <c r="J98" s="153">
        <v>45614</v>
      </c>
      <c r="K98" s="153">
        <v>45615</v>
      </c>
      <c r="L98" s="278">
        <f t="array" ref="L98">MIN(IF(V98:CH98&gt;0,$V$16:$CH$16))</f>
        <v>45625</v>
      </c>
      <c r="M98" s="277">
        <f t="array" ref="M98">MAX(IF(V98:CH98&gt;0,$V$16:$CH$16))</f>
        <v>45625</v>
      </c>
      <c r="N98" s="275">
        <f>VLOOKUP(H98,Auxiliar!$B$16:$E$24,4,0)</f>
        <v>0.25</v>
      </c>
      <c r="O98" s="275">
        <f t="shared" ca="1" si="19"/>
        <v>0</v>
      </c>
      <c r="P98" s="274">
        <f t="shared" ca="1" si="18"/>
        <v>0.25</v>
      </c>
      <c r="Q98" s="283" t="s">
        <v>38</v>
      </c>
      <c r="R98" s="229"/>
      <c r="S98" s="233">
        <v>4</v>
      </c>
      <c r="T98" s="223">
        <f t="shared" si="22"/>
        <v>0.5</v>
      </c>
      <c r="U98" s="223">
        <f t="shared" si="20"/>
        <v>0</v>
      </c>
      <c r="V98" s="79"/>
      <c r="W98" s="79"/>
      <c r="X98" s="79"/>
      <c r="Y98" s="79"/>
      <c r="Z98" s="79"/>
      <c r="AA98" s="79"/>
      <c r="AB98" s="79"/>
      <c r="AC98" s="92"/>
      <c r="AD98" s="79"/>
      <c r="AE98" s="79"/>
      <c r="AF98" s="79"/>
      <c r="AG98" s="79"/>
      <c r="AH98" s="79"/>
      <c r="AI98" s="79"/>
      <c r="AJ98" s="79"/>
      <c r="AK98" s="79"/>
      <c r="AL98" s="79"/>
      <c r="AM98" s="79"/>
      <c r="AN98" s="230"/>
      <c r="AO98" s="226"/>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outlineLevel="1">
      <c r="A99" s="30" t="str">
        <f t="shared" si="21"/>
        <v>modesg_out_empr_info_nfincod_nace_esg</v>
      </c>
      <c r="B99" s="142" t="s">
        <v>26</v>
      </c>
      <c r="C99" s="138" t="s">
        <v>311</v>
      </c>
      <c r="D99" s="252" t="s">
        <v>40</v>
      </c>
      <c r="E99" s="253" t="s">
        <v>326</v>
      </c>
      <c r="F99" s="253"/>
      <c r="G99" s="255" t="s">
        <v>282</v>
      </c>
      <c r="H99" s="254" t="str">
        <f>VLOOKUP(A99,'2. Status Detalhe Campos'!$A$7:$G$574,7,0)</f>
        <v>2.1 Em Teste</v>
      </c>
      <c r="I99" s="228" t="s">
        <v>38</v>
      </c>
      <c r="J99" s="153">
        <v>45614</v>
      </c>
      <c r="K99" s="153">
        <v>45615</v>
      </c>
      <c r="L99" s="278">
        <f t="array" ref="L99">MIN(IF(V99:CH99&gt;0,$V$16:$CH$16))</f>
        <v>45625</v>
      </c>
      <c r="M99" s="277">
        <f t="array" ref="M99">MAX(IF(V99:CH99&gt;0,$V$16:$CH$16))</f>
        <v>45629</v>
      </c>
      <c r="N99" s="275">
        <f>VLOOKUP(H99,Auxiliar!$B$16:$E$24,4,0)</f>
        <v>0.25</v>
      </c>
      <c r="O99" s="275">
        <f t="shared" ca="1" si="19"/>
        <v>0</v>
      </c>
      <c r="P99" s="274">
        <f t="shared" ca="1" si="18"/>
        <v>0.25</v>
      </c>
      <c r="Q99" s="283" t="s">
        <v>38</v>
      </c>
      <c r="R99" s="229"/>
      <c r="S99" s="223">
        <v>16.100000000000001</v>
      </c>
      <c r="T99" s="223">
        <f t="shared" si="22"/>
        <v>2</v>
      </c>
      <c r="U99" s="223">
        <f t="shared" si="20"/>
        <v>0</v>
      </c>
      <c r="V99" s="79"/>
      <c r="W99" s="79"/>
      <c r="X99" s="79"/>
      <c r="Y99" s="79"/>
      <c r="Z99" s="79"/>
      <c r="AA99" s="79"/>
      <c r="AB99" s="79"/>
      <c r="AC99" s="92"/>
      <c r="AD99" s="79"/>
      <c r="AE99" s="79"/>
      <c r="AF99" s="79"/>
      <c r="AG99" s="79"/>
      <c r="AH99" s="79"/>
      <c r="AI99" s="79"/>
      <c r="AJ99" s="79"/>
      <c r="AK99" s="79"/>
      <c r="AL99" s="79"/>
      <c r="AM99" s="79"/>
      <c r="AN99" s="230"/>
      <c r="AO99" s="226"/>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outlineLevel="1">
      <c r="A100" s="30" t="str">
        <f t="shared" si="21"/>
        <v>modesg_out_empr_info_nfinflg_emprs_excl_paris</v>
      </c>
      <c r="B100" s="142" t="s">
        <v>26</v>
      </c>
      <c r="C100" s="138" t="s">
        <v>311</v>
      </c>
      <c r="D100" s="252" t="s">
        <v>40</v>
      </c>
      <c r="E100" s="253" t="s">
        <v>326</v>
      </c>
      <c r="F100" s="253"/>
      <c r="G100" s="252" t="s">
        <v>328</v>
      </c>
      <c r="H100" s="254" t="str">
        <f>VLOOKUP(A100,'2. Status Detalhe Campos'!$A$7:$G$574,7,0)</f>
        <v>2.1 Em Teste</v>
      </c>
      <c r="I100" s="228" t="s">
        <v>38</v>
      </c>
      <c r="J100" s="153">
        <v>45614</v>
      </c>
      <c r="K100" s="153">
        <v>45615</v>
      </c>
      <c r="L100" s="278">
        <f t="array" ref="L100">MIN(IF(V100:CH100&gt;0,$V$16:$CH$16))</f>
        <v>45629</v>
      </c>
      <c r="M100" s="277">
        <f t="array" ref="M100">MAX(IF(V100:CH100&gt;0,$V$16:$CH$16))</f>
        <v>45630</v>
      </c>
      <c r="N100" s="275">
        <f>VLOOKUP(H100,Auxiliar!$B$16:$E$24,4,0)</f>
        <v>0.25</v>
      </c>
      <c r="O100" s="275">
        <f t="shared" ca="1" si="19"/>
        <v>0</v>
      </c>
      <c r="P100" s="274">
        <f t="shared" ca="1" si="18"/>
        <v>0.25</v>
      </c>
      <c r="Q100" s="283" t="s">
        <v>38</v>
      </c>
      <c r="R100" s="229"/>
      <c r="S100" s="223">
        <v>8.1</v>
      </c>
      <c r="T100" s="223">
        <f t="shared" si="22"/>
        <v>1</v>
      </c>
      <c r="U100" s="223">
        <f t="shared" si="20"/>
        <v>0</v>
      </c>
      <c r="V100" s="79"/>
      <c r="W100" s="79"/>
      <c r="X100" s="79"/>
      <c r="Y100" s="79"/>
      <c r="Z100" s="79"/>
      <c r="AA100" s="79"/>
      <c r="AB100" s="79"/>
      <c r="AC100" s="92"/>
      <c r="AD100" s="79"/>
      <c r="AE100" s="79"/>
      <c r="AF100" s="79"/>
      <c r="AG100" s="79"/>
      <c r="AH100" s="79"/>
      <c r="AI100" s="79"/>
      <c r="AJ100" s="79"/>
      <c r="AK100" s="79"/>
      <c r="AL100" s="79"/>
      <c r="AM100" s="79"/>
      <c r="AN100" s="230"/>
      <c r="AO100" s="226"/>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outlineLevel="1">
      <c r="A101" s="30" t="str">
        <f t="shared" si="21"/>
        <v>modesg_out_empr_info_nfinflg_nfrd</v>
      </c>
      <c r="B101" s="142" t="s">
        <v>26</v>
      </c>
      <c r="C101" s="138" t="s">
        <v>311</v>
      </c>
      <c r="D101" s="252" t="s">
        <v>40</v>
      </c>
      <c r="E101" s="253" t="s">
        <v>326</v>
      </c>
      <c r="F101" s="253"/>
      <c r="G101" s="252" t="s">
        <v>245</v>
      </c>
      <c r="H101" s="254" t="str">
        <f>VLOOKUP(A101,'2. Status Detalhe Campos'!$A$7:$G$574,7,0)</f>
        <v>2.1 Em Teste</v>
      </c>
      <c r="I101" s="228" t="s">
        <v>38</v>
      </c>
      <c r="J101" s="153">
        <v>45614</v>
      </c>
      <c r="K101" s="153">
        <v>45615</v>
      </c>
      <c r="L101" s="278">
        <f t="array" ref="L101">MIN(IF(V101:CH101&gt;0,$V$16:$CH$16))</f>
        <v>45630</v>
      </c>
      <c r="M101" s="277">
        <f t="array" ref="M101">MAX(IF(V101:CH101&gt;0,$V$16:$CH$16))</f>
        <v>45631</v>
      </c>
      <c r="N101" s="275">
        <f>VLOOKUP(H101,Auxiliar!$B$16:$E$24,4,0)</f>
        <v>0.25</v>
      </c>
      <c r="O101" s="275">
        <f t="shared" ca="1" si="19"/>
        <v>0</v>
      </c>
      <c r="P101" s="274">
        <f t="shared" ca="1" si="18"/>
        <v>0.25</v>
      </c>
      <c r="Q101" s="283" t="s">
        <v>38</v>
      </c>
      <c r="R101" s="229"/>
      <c r="S101" s="223">
        <v>8.1</v>
      </c>
      <c r="T101" s="223">
        <f t="shared" si="22"/>
        <v>1</v>
      </c>
      <c r="U101" s="223">
        <f t="shared" si="20"/>
        <v>0</v>
      </c>
      <c r="V101" s="79"/>
      <c r="W101" s="79"/>
      <c r="X101" s="79"/>
      <c r="Y101" s="79"/>
      <c r="Z101" s="79"/>
      <c r="AA101" s="79"/>
      <c r="AB101" s="79"/>
      <c r="AC101" s="92"/>
      <c r="AD101" s="79"/>
      <c r="AE101" s="79"/>
      <c r="AF101" s="79"/>
      <c r="AG101" s="79"/>
      <c r="AH101" s="79"/>
      <c r="AI101" s="79"/>
      <c r="AJ101" s="79"/>
      <c r="AK101" s="79"/>
      <c r="AL101" s="79"/>
      <c r="AM101" s="79"/>
      <c r="AN101" s="230"/>
      <c r="AO101" s="226"/>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outlineLevel="1">
      <c r="A102" s="30" t="str">
        <f t="shared" si="21"/>
        <v>modesg_out_empr_info_nfinorigem_alinhamentos</v>
      </c>
      <c r="B102" s="142" t="s">
        <v>26</v>
      </c>
      <c r="C102" s="138" t="s">
        <v>311</v>
      </c>
      <c r="D102" s="252" t="s">
        <v>40</v>
      </c>
      <c r="E102" s="253" t="s">
        <v>326</v>
      </c>
      <c r="F102" s="253"/>
      <c r="G102" s="252" t="s">
        <v>329</v>
      </c>
      <c r="H102" s="254" t="str">
        <f>VLOOKUP(A102,'2. Status Detalhe Campos'!$A$7:$G$574,7,0)</f>
        <v>2.1 Em Teste</v>
      </c>
      <c r="I102" s="228" t="s">
        <v>38</v>
      </c>
      <c r="J102" s="153">
        <v>45614</v>
      </c>
      <c r="K102" s="153">
        <v>45615</v>
      </c>
      <c r="L102" s="278">
        <f t="array" ref="L102">MIN(IF(V102:CH102&gt;0,$V$16:$CH$16))</f>
        <v>45631</v>
      </c>
      <c r="M102" s="277">
        <f t="array" ref="M102">MAX(IF(V102:CH102&gt;0,$V$16:$CH$16))</f>
        <v>45631</v>
      </c>
      <c r="N102" s="275">
        <f>VLOOKUP(H102,Auxiliar!$B$16:$E$24,4,0)</f>
        <v>0.25</v>
      </c>
      <c r="O102" s="275">
        <f t="shared" ca="1" si="19"/>
        <v>0</v>
      </c>
      <c r="P102" s="274">
        <f t="shared" ca="1" si="18"/>
        <v>0.25</v>
      </c>
      <c r="Q102" s="283" t="s">
        <v>38</v>
      </c>
      <c r="R102" s="229"/>
      <c r="S102" s="223">
        <v>4.0999999999999996</v>
      </c>
      <c r="T102" s="223">
        <f t="shared" si="22"/>
        <v>0.5</v>
      </c>
      <c r="U102" s="223">
        <f t="shared" si="20"/>
        <v>0</v>
      </c>
      <c r="V102" s="79"/>
      <c r="W102" s="79"/>
      <c r="X102" s="79"/>
      <c r="Y102" s="79"/>
      <c r="Z102" s="79"/>
      <c r="AA102" s="79"/>
      <c r="AB102" s="79"/>
      <c r="AC102" s="92"/>
      <c r="AD102" s="79"/>
      <c r="AE102" s="79"/>
      <c r="AF102" s="79"/>
      <c r="AG102" s="79"/>
      <c r="AH102" s="79"/>
      <c r="AI102" s="79"/>
      <c r="AJ102" s="79"/>
      <c r="AK102" s="79"/>
      <c r="AL102" s="79"/>
      <c r="AM102" s="79"/>
      <c r="AN102" s="230"/>
      <c r="AO102" s="226"/>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outlineLevel="1">
      <c r="A103" s="30" t="str">
        <f t="shared" si="21"/>
        <v>modesg_out_empr_info_nfinorigem_flg_emprs_excl_paris</v>
      </c>
      <c r="B103" s="142" t="s">
        <v>26</v>
      </c>
      <c r="C103" s="138" t="s">
        <v>311</v>
      </c>
      <c r="D103" s="252" t="s">
        <v>40</v>
      </c>
      <c r="E103" s="253" t="s">
        <v>326</v>
      </c>
      <c r="F103" s="253"/>
      <c r="G103" s="252" t="s">
        <v>330</v>
      </c>
      <c r="H103" s="254" t="str">
        <f>VLOOKUP(A103,'2. Status Detalhe Campos'!$A$7:$G$574,7,0)</f>
        <v>2.1 Em Teste</v>
      </c>
      <c r="I103" s="228" t="s">
        <v>38</v>
      </c>
      <c r="J103" s="153">
        <v>45614</v>
      </c>
      <c r="K103" s="153">
        <v>45615</v>
      </c>
      <c r="L103" s="278">
        <f t="array" ref="L103">MIN(IF(V103:CH103&gt;0,$V$16:$CH$16))</f>
        <v>45632</v>
      </c>
      <c r="M103" s="277">
        <f t="array" ref="M103">MAX(IF(V103:CH103&gt;0,$V$16:$CH$16))</f>
        <v>45632</v>
      </c>
      <c r="N103" s="275">
        <f>VLOOKUP(H103,Auxiliar!$B$16:$E$24,4,0)</f>
        <v>0.25</v>
      </c>
      <c r="O103" s="275">
        <f t="shared" ca="1" si="19"/>
        <v>0</v>
      </c>
      <c r="P103" s="274">
        <f t="shared" ca="1" si="18"/>
        <v>0.25</v>
      </c>
      <c r="Q103" s="283" t="s">
        <v>38</v>
      </c>
      <c r="R103" s="229"/>
      <c r="S103" s="223">
        <v>4.0999999999999996</v>
      </c>
      <c r="T103" s="223">
        <f t="shared" si="22"/>
        <v>0.5</v>
      </c>
      <c r="U103" s="223">
        <f t="shared" si="20"/>
        <v>0</v>
      </c>
      <c r="V103" s="79"/>
      <c r="W103" s="79"/>
      <c r="X103" s="79"/>
      <c r="Y103" s="79"/>
      <c r="Z103" s="79"/>
      <c r="AA103" s="79"/>
      <c r="AB103" s="79"/>
      <c r="AC103" s="92"/>
      <c r="AD103" s="79"/>
      <c r="AE103" s="79"/>
      <c r="AF103" s="79"/>
      <c r="AG103" s="79"/>
      <c r="AH103" s="79"/>
      <c r="AI103" s="79"/>
      <c r="AJ103" s="79"/>
      <c r="AK103" s="79"/>
      <c r="AL103" s="79"/>
      <c r="AM103" s="79"/>
      <c r="AN103" s="230"/>
      <c r="AO103" s="226"/>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outlineLevel="1">
      <c r="A104" s="30" t="str">
        <f t="shared" si="21"/>
        <v>modesg_out_empr_info_nfinorigem_flg_nfrd</v>
      </c>
      <c r="B104" s="142" t="s">
        <v>26</v>
      </c>
      <c r="C104" s="138" t="s">
        <v>311</v>
      </c>
      <c r="D104" s="252" t="s">
        <v>40</v>
      </c>
      <c r="E104" s="253" t="s">
        <v>326</v>
      </c>
      <c r="F104" s="253"/>
      <c r="G104" s="252" t="s">
        <v>331</v>
      </c>
      <c r="H104" s="254" t="str">
        <f>VLOOKUP(A104,'2. Status Detalhe Campos'!$A$7:$G$574,7,0)</f>
        <v>2.1 Em Teste</v>
      </c>
      <c r="I104" s="228" t="s">
        <v>38</v>
      </c>
      <c r="J104" s="153">
        <v>45614</v>
      </c>
      <c r="K104" s="153">
        <v>45615</v>
      </c>
      <c r="L104" s="278">
        <f t="array" ref="L104">MIN(IF(V104:CH104&gt;0,$V$16:$CH$16))</f>
        <v>45632</v>
      </c>
      <c r="M104" s="277">
        <f t="array" ref="M104">MAX(IF(V104:CH104&gt;0,$V$16:$CH$16))</f>
        <v>45632</v>
      </c>
      <c r="N104" s="275">
        <f>VLOOKUP(H104,Auxiliar!$B$16:$E$24,4,0)</f>
        <v>0.25</v>
      </c>
      <c r="O104" s="275">
        <f t="shared" ca="1" si="19"/>
        <v>0</v>
      </c>
      <c r="P104" s="274">
        <f t="shared" ca="1" si="18"/>
        <v>0.25</v>
      </c>
      <c r="Q104" s="283" t="s">
        <v>38</v>
      </c>
      <c r="R104" s="229"/>
      <c r="S104" s="223">
        <v>4.0999999999999996</v>
      </c>
      <c r="T104" s="223">
        <f t="shared" si="22"/>
        <v>0.5</v>
      </c>
      <c r="U104" s="223">
        <f t="shared" si="20"/>
        <v>0</v>
      </c>
      <c r="V104" s="79"/>
      <c r="W104" s="79"/>
      <c r="X104" s="79"/>
      <c r="Y104" s="79"/>
      <c r="Z104" s="79"/>
      <c r="AA104" s="79"/>
      <c r="AB104" s="79"/>
      <c r="AC104" s="92"/>
      <c r="AD104" s="79"/>
      <c r="AE104" s="79"/>
      <c r="AF104" s="79"/>
      <c r="AG104" s="79"/>
      <c r="AH104" s="79"/>
      <c r="AI104" s="79"/>
      <c r="AJ104" s="79"/>
      <c r="AK104" s="79"/>
      <c r="AL104" s="79"/>
      <c r="AM104" s="79"/>
      <c r="AN104" s="230"/>
      <c r="AO104" s="226"/>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 r="A105" s="30"/>
      <c r="B105" s="142" t="s">
        <v>26</v>
      </c>
      <c r="C105" s="138" t="s">
        <v>311</v>
      </c>
      <c r="D105" s="134"/>
      <c r="E105" s="259" t="s">
        <v>326</v>
      </c>
      <c r="F105" s="259" t="s">
        <v>2002</v>
      </c>
      <c r="G105" s="260">
        <f>COUNTA(G106:G111)</f>
        <v>6</v>
      </c>
      <c r="H105" s="136"/>
      <c r="I105" s="228" t="s">
        <v>38</v>
      </c>
      <c r="J105" s="257">
        <f>MIN(J106:J111)</f>
        <v>45621</v>
      </c>
      <c r="K105" s="228"/>
      <c r="L105" s="257">
        <f>MIN(L106:L111)</f>
        <v>45635</v>
      </c>
      <c r="M105" s="258">
        <f>MAX(M106:M111)</f>
        <v>45642</v>
      </c>
      <c r="N105" s="279">
        <f>SUMPRODUCT(N106:N111,T106:T111)/SUM(T106:T111)</f>
        <v>0</v>
      </c>
      <c r="O105" s="279">
        <f ca="1">SUMPRODUCT(O106:O111,T106:T111)/SUM(T106:T111)</f>
        <v>0</v>
      </c>
      <c r="P105" s="274">
        <f t="shared" ca="1" si="18"/>
        <v>0</v>
      </c>
      <c r="Q105" s="283"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4"/>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outlineLevel="1">
      <c r="A106" s="30" t="str">
        <f t="shared" ref="A106:A111" si="23">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8">
        <f t="array" ref="L106">MIN(IF(V106:CH106&gt;0,$V$16:$CH$16))</f>
        <v>45635</v>
      </c>
      <c r="M106" s="277">
        <f t="array" ref="M106">MAX(IF(V106:CH106&gt;0,$V$16:$CH$16))</f>
        <v>45635</v>
      </c>
      <c r="N106" s="275">
        <f>VLOOKUP(H106,Auxiliar!$B$16:$E$24,4,0)</f>
        <v>0</v>
      </c>
      <c r="O106" s="275">
        <f t="shared" ref="O106:O111" ca="1" si="24">IF(TODAY()&lt;=L106,0,MIN((TODAY()-L106)/(M106-L106+1),100%))</f>
        <v>0</v>
      </c>
      <c r="P106" s="274">
        <f t="shared" ca="1" si="18"/>
        <v>0</v>
      </c>
      <c r="Q106" s="283" t="s">
        <v>38</v>
      </c>
      <c r="R106" s="229"/>
      <c r="S106" s="223">
        <v>4.0999999999999996</v>
      </c>
      <c r="T106" s="223">
        <f t="shared" ref="T106:T111" si="25">ROUND(S106/8,1)</f>
        <v>0.5</v>
      </c>
      <c r="U106" s="223">
        <f t="shared" ref="U106:U111" si="26">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outlineLevel="1">
      <c r="A107" s="30" t="str">
        <f t="shared" si="23"/>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8">
        <f t="array" ref="L107">MIN(IF(V107:CH107&gt;0,$V$16:$CH$16))</f>
        <v>45635</v>
      </c>
      <c r="M107" s="277">
        <f t="array" ref="M107">MAX(IF(V107:CH107&gt;0,$V$16:$CH$16))</f>
        <v>45635</v>
      </c>
      <c r="N107" s="275">
        <f>VLOOKUP(H107,Auxiliar!$B$16:$E$24,4,0)</f>
        <v>0</v>
      </c>
      <c r="O107" s="275">
        <f t="shared" ca="1" si="24"/>
        <v>0</v>
      </c>
      <c r="P107" s="274">
        <f t="shared" ca="1" si="18"/>
        <v>0</v>
      </c>
      <c r="Q107" s="283" t="s">
        <v>38</v>
      </c>
      <c r="R107" s="229"/>
      <c r="S107" s="223">
        <v>4.0999999999999996</v>
      </c>
      <c r="T107" s="223">
        <f t="shared" si="25"/>
        <v>0.5</v>
      </c>
      <c r="U107" s="223">
        <f t="shared" si="26"/>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outlineLevel="1">
      <c r="A108" s="30" t="str">
        <f t="shared" si="23"/>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8">
        <f t="array" ref="L108">MIN(IF(V108:CH108&gt;0,$V$16:$CH$16))</f>
        <v>45636</v>
      </c>
      <c r="M108" s="277">
        <f t="array" ref="M108">MAX(IF(V108:CH108&gt;0,$V$16:$CH$16))</f>
        <v>45636</v>
      </c>
      <c r="N108" s="275">
        <f>VLOOKUP(H108,Auxiliar!$B$16:$E$24,4,0)</f>
        <v>0</v>
      </c>
      <c r="O108" s="275">
        <f t="shared" ca="1" si="24"/>
        <v>0</v>
      </c>
      <c r="P108" s="274">
        <f t="shared" ca="1" si="18"/>
        <v>0</v>
      </c>
      <c r="Q108" s="283" t="s">
        <v>38</v>
      </c>
      <c r="R108" s="229"/>
      <c r="S108" s="223">
        <v>4.0999999999999996</v>
      </c>
      <c r="T108" s="223">
        <f t="shared" si="25"/>
        <v>0.5</v>
      </c>
      <c r="U108" s="223">
        <f t="shared" si="26"/>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outlineLevel="1">
      <c r="A109" s="30" t="str">
        <f t="shared" si="23"/>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8">
        <f t="array" ref="L109">MIN(IF(V109:CH109&gt;0,$V$16:$CH$16))</f>
        <v>45636</v>
      </c>
      <c r="M109" s="277">
        <f t="array" ref="M109">MAX(IF(V109:CH109&gt;0,$V$16:$CH$16))</f>
        <v>45637</v>
      </c>
      <c r="N109" s="275">
        <f>VLOOKUP(H109,Auxiliar!$B$16:$E$24,4,0)</f>
        <v>0</v>
      </c>
      <c r="O109" s="275">
        <f t="shared" ca="1" si="24"/>
        <v>0</v>
      </c>
      <c r="P109" s="274">
        <f t="shared" ca="1" si="18"/>
        <v>0</v>
      </c>
      <c r="Q109" s="283" t="s">
        <v>38</v>
      </c>
      <c r="R109" s="229"/>
      <c r="S109" s="223">
        <v>8.1</v>
      </c>
      <c r="T109" s="223">
        <f t="shared" si="25"/>
        <v>1</v>
      </c>
      <c r="U109" s="223">
        <f t="shared" si="26"/>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outlineLevel="1">
      <c r="A110" s="30" t="str">
        <f t="shared" si="23"/>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8">
        <f t="array" ref="L110">MIN(IF(V110:CH110&gt;0,$V$16:$CH$16))</f>
        <v>45637</v>
      </c>
      <c r="M110" s="277">
        <f t="array" ref="M110">MAX(IF(V110:CH110&gt;0,$V$16:$CH$16))</f>
        <v>45639</v>
      </c>
      <c r="N110" s="275">
        <f>VLOOKUP(H110,Auxiliar!$B$16:$E$24,4,0)</f>
        <v>0</v>
      </c>
      <c r="O110" s="275">
        <f t="shared" ca="1" si="24"/>
        <v>0</v>
      </c>
      <c r="P110" s="274">
        <f t="shared" ca="1" si="18"/>
        <v>0</v>
      </c>
      <c r="Q110" s="283" t="s">
        <v>38</v>
      </c>
      <c r="R110" s="229"/>
      <c r="S110" s="223">
        <v>8.1</v>
      </c>
      <c r="T110" s="223">
        <f t="shared" si="25"/>
        <v>1</v>
      </c>
      <c r="U110" s="223">
        <f t="shared" si="26"/>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outlineLevel="1">
      <c r="A111" s="30" t="str">
        <f t="shared" si="23"/>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8">
        <f t="array" ref="L111">MIN(IF(V111:CH111&gt;0,$V$16:$CH$16))</f>
        <v>45639</v>
      </c>
      <c r="M111" s="277">
        <f t="array" ref="M111">MAX(IF(V111:CH111&gt;0,$V$16:$CH$16))</f>
        <v>45642</v>
      </c>
      <c r="N111" s="275">
        <f>VLOOKUP(H111,Auxiliar!$B$16:$E$24,4,0)</f>
        <v>0</v>
      </c>
      <c r="O111" s="275">
        <f t="shared" ca="1" si="24"/>
        <v>0</v>
      </c>
      <c r="P111" s="274">
        <f t="shared" ca="1" si="18"/>
        <v>0</v>
      </c>
      <c r="Q111" s="283" t="s">
        <v>38</v>
      </c>
      <c r="R111" s="229"/>
      <c r="S111" s="223">
        <v>8.1</v>
      </c>
      <c r="T111" s="223">
        <f t="shared" si="25"/>
        <v>1</v>
      </c>
      <c r="U111" s="223">
        <f t="shared" si="26"/>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 r="A112" s="30"/>
      <c r="B112" s="142" t="s">
        <v>26</v>
      </c>
      <c r="C112" s="138" t="s">
        <v>311</v>
      </c>
      <c r="D112" s="134"/>
      <c r="E112" s="259" t="s">
        <v>326</v>
      </c>
      <c r="F112" s="259" t="s">
        <v>2003</v>
      </c>
      <c r="G112" s="260">
        <f>COUNTA(G113:G116)</f>
        <v>4</v>
      </c>
      <c r="H112" s="136"/>
      <c r="I112" s="228" t="s">
        <v>38</v>
      </c>
      <c r="J112" s="257">
        <f>MIN(J113:J116)</f>
        <v>45638</v>
      </c>
      <c r="K112" s="228"/>
      <c r="L112" s="257">
        <f>MIN(L113:L116)</f>
        <v>45638</v>
      </c>
      <c r="M112" s="258">
        <f>MAX(M113:M116)</f>
        <v>45646</v>
      </c>
      <c r="N112" s="279">
        <f>SUMPRODUCT(N113:N116,T113:T116)/SUM(T113:T116)</f>
        <v>0</v>
      </c>
      <c r="O112" s="279">
        <f ca="1">SUMPRODUCT(O113:O116,T113:T116)/SUM(T113:T116)</f>
        <v>0</v>
      </c>
      <c r="P112" s="274">
        <f t="shared" ca="1" si="18"/>
        <v>0</v>
      </c>
      <c r="Q112" s="283"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91"/>
      <c r="AW112" s="79"/>
      <c r="AX112" s="79"/>
      <c r="AY112" s="79"/>
      <c r="AZ112" s="79"/>
      <c r="BA112" s="79"/>
      <c r="BB112" s="79"/>
      <c r="BC112" s="79"/>
      <c r="BD112" s="79"/>
      <c r="BE112" s="79"/>
      <c r="BF112" s="230"/>
      <c r="BG112" s="79"/>
      <c r="BH112" s="79"/>
      <c r="BI112" s="79"/>
      <c r="BJ112" s="79"/>
      <c r="BK112" s="79"/>
      <c r="BL112" s="264"/>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45638</v>
      </c>
      <c r="K113" s="228"/>
      <c r="L113" s="278">
        <f t="array" ref="L113">MIN(IF(V113:CH113&gt;0,$V$16:$CH$16))</f>
        <v>45643</v>
      </c>
      <c r="M113" s="277">
        <f t="array" ref="M113">MAX(IF(V113:CH113&gt;0,$V$16:$CH$16))</f>
        <v>45644</v>
      </c>
      <c r="N113" s="275">
        <f>VLOOKUP(H113,Auxiliar!$B$16:$E$24,4,0)</f>
        <v>0</v>
      </c>
      <c r="O113" s="275">
        <f t="shared" ref="O113:O116" ca="1" si="27">IF(TODAY()&lt;=L113,0,MIN((TODAY()-L113)/(M113-L113+1),100%))</f>
        <v>0</v>
      </c>
      <c r="P113" s="274">
        <f t="shared" ca="1" si="18"/>
        <v>0</v>
      </c>
      <c r="Q113" s="283"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91"/>
      <c r="AW113" s="79"/>
      <c r="AX113" s="79"/>
      <c r="AY113" s="79"/>
      <c r="AZ113" s="79"/>
      <c r="BA113" s="79"/>
      <c r="BB113" s="79"/>
      <c r="BC113" s="79"/>
      <c r="BD113" s="79"/>
      <c r="BE113" s="79"/>
      <c r="BF113" s="230"/>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45638</v>
      </c>
      <c r="K114" s="228"/>
      <c r="L114" s="278">
        <f t="array" ref="L114">MIN(IF(V114:CH114&gt;0,$V$16:$CH$16))</f>
        <v>45645</v>
      </c>
      <c r="M114" s="277">
        <f t="array" ref="M114">MAX(IF(V114:CH114&gt;0,$V$16:$CH$16))</f>
        <v>45646</v>
      </c>
      <c r="N114" s="275">
        <f>VLOOKUP(H114,Auxiliar!$B$16:$E$24,4,0)</f>
        <v>0</v>
      </c>
      <c r="O114" s="275">
        <f t="shared" ca="1" si="27"/>
        <v>0</v>
      </c>
      <c r="P114" s="274">
        <f t="shared" ca="1" si="18"/>
        <v>0</v>
      </c>
      <c r="Q114" s="283"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91"/>
      <c r="AW114" s="79"/>
      <c r="AX114" s="79"/>
      <c r="AY114" s="79"/>
      <c r="AZ114" s="79"/>
      <c r="BA114" s="79"/>
      <c r="BB114" s="79"/>
      <c r="BC114" s="79"/>
      <c r="BD114" s="79"/>
      <c r="BE114" s="79"/>
      <c r="BF114" s="230"/>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outlineLevel="1">
      <c r="A115" s="30" t="str">
        <f t="shared" si="21"/>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45638</v>
      </c>
      <c r="K115" s="228"/>
      <c r="L115" s="278">
        <f t="array" ref="L115">MIN(IF(V115:CH115&gt;0,$V$16:$CH$16))</f>
        <v>45638</v>
      </c>
      <c r="M115" s="277">
        <f t="array" ref="M115">MAX(IF(V115:CH115&gt;0,$V$16:$CH$16))</f>
        <v>45638</v>
      </c>
      <c r="N115" s="275">
        <f>VLOOKUP(H115,Auxiliar!$B$16:$E$24,4,0)</f>
        <v>0</v>
      </c>
      <c r="O115" s="275">
        <f t="shared" ca="1" si="27"/>
        <v>0</v>
      </c>
      <c r="P115" s="274">
        <f t="shared" ca="1" si="18"/>
        <v>0</v>
      </c>
      <c r="Q115" s="283" t="s">
        <v>38</v>
      </c>
      <c r="R115" s="229"/>
      <c r="S115" s="223">
        <v>4.0999999999999996</v>
      </c>
      <c r="T115" s="223">
        <f t="shared" si="22"/>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91"/>
      <c r="AW115" s="79"/>
      <c r="AX115" s="79"/>
      <c r="AY115" s="79"/>
      <c r="AZ115" s="79"/>
      <c r="BA115" s="79"/>
      <c r="BB115" s="79"/>
      <c r="BC115" s="79"/>
      <c r="BD115" s="79"/>
      <c r="BE115" s="79"/>
      <c r="BF115" s="230">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outlineLevel="1">
      <c r="A116" s="30" t="str">
        <f t="shared" si="21"/>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45638</v>
      </c>
      <c r="K116" s="228"/>
      <c r="L116" s="278">
        <f t="array" ref="L116">MIN(IF(V116:CH116&gt;0,$V$16:$CH$16))</f>
        <v>45638</v>
      </c>
      <c r="M116" s="277">
        <f t="array" ref="M116">MAX(IF(V116:CH116&gt;0,$V$16:$CH$16))</f>
        <v>45638</v>
      </c>
      <c r="N116" s="275">
        <f>VLOOKUP(H116,Auxiliar!$B$16:$E$24,4,0)</f>
        <v>0</v>
      </c>
      <c r="O116" s="275">
        <f t="shared" ca="1" si="27"/>
        <v>0</v>
      </c>
      <c r="P116" s="274">
        <f t="shared" ca="1" si="18"/>
        <v>0</v>
      </c>
      <c r="Q116" s="283" t="s">
        <v>38</v>
      </c>
      <c r="R116" s="229"/>
      <c r="S116" s="223">
        <v>4.0999999999999996</v>
      </c>
      <c r="T116" s="223">
        <f t="shared" si="22"/>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91"/>
      <c r="AW116" s="79"/>
      <c r="AX116" s="79"/>
      <c r="AY116" s="79"/>
      <c r="AZ116" s="79"/>
      <c r="BA116" s="79"/>
      <c r="BB116" s="79"/>
      <c r="BC116" s="79"/>
      <c r="BD116" s="79"/>
      <c r="BE116" s="79"/>
      <c r="BF116" s="230">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 r="A117" s="30"/>
      <c r="B117" s="142" t="s">
        <v>26</v>
      </c>
      <c r="C117" s="138" t="s">
        <v>311</v>
      </c>
      <c r="D117" s="134"/>
      <c r="E117" s="259" t="s">
        <v>332</v>
      </c>
      <c r="F117" s="259" t="s">
        <v>1981</v>
      </c>
      <c r="G117" s="260">
        <f>COUNTA(G118:G124)</f>
        <v>7</v>
      </c>
      <c r="H117" s="136"/>
      <c r="I117" s="228" t="s">
        <v>38</v>
      </c>
      <c r="J117" s="257">
        <f>MIN(J118:J124)</f>
        <v>45607</v>
      </c>
      <c r="K117" s="228"/>
      <c r="L117" s="257">
        <f>MIN(L118:L124)</f>
        <v>45608</v>
      </c>
      <c r="M117" s="258">
        <f>MAX(M118:M124)</f>
        <v>45618</v>
      </c>
      <c r="N117" s="279">
        <f>SUMPRODUCT(N118:N124,T118:T124)/SUM(T118:T124)</f>
        <v>0.32317073170731708</v>
      </c>
      <c r="O117" s="279">
        <f ca="1">SUMPRODUCT(O118:O124,T118:T124)/SUM(T118:T124)</f>
        <v>1</v>
      </c>
      <c r="P117" s="342">
        <f t="shared" ca="1" si="18"/>
        <v>-0.67682926829268286</v>
      </c>
      <c r="Q117" s="283"/>
      <c r="R117" s="229"/>
      <c r="S117" s="223"/>
      <c r="T117" s="223"/>
      <c r="U117" s="223"/>
      <c r="V117" s="79"/>
      <c r="W117" s="79"/>
      <c r="X117" s="79"/>
      <c r="Y117" s="79"/>
      <c r="Z117" s="79"/>
      <c r="AA117" s="79"/>
      <c r="AB117" s="79"/>
      <c r="AC117" s="92"/>
      <c r="AD117" s="79"/>
      <c r="AE117" s="79"/>
      <c r="AF117" s="79"/>
      <c r="AG117" s="79"/>
      <c r="AH117" s="79"/>
      <c r="AI117" s="230"/>
      <c r="AJ117" s="226"/>
      <c r="AK117" s="79"/>
      <c r="AL117" s="79"/>
      <c r="AM117" s="79"/>
      <c r="AN117" s="79"/>
      <c r="AO117" s="79"/>
      <c r="AP117" s="79"/>
      <c r="AQ117" s="79"/>
      <c r="AR117" s="264"/>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outlineLevel="1">
      <c r="A118" s="30" t="str">
        <f t="shared" si="21"/>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153">
        <v>45608</v>
      </c>
      <c r="L118" s="278">
        <f t="array" ref="L118">MIN(IF(V118:CH118&gt;0,$V$16:$CH$16))</f>
        <v>45618</v>
      </c>
      <c r="M118" s="277">
        <f t="array" ref="M118">MAX(IF(V118:CH118&gt;0,$V$16:$CH$16))</f>
        <v>45618</v>
      </c>
      <c r="N118" s="275">
        <f>VLOOKUP(H118,Auxiliar!$B$16:$E$24,4,0)</f>
        <v>0.25</v>
      </c>
      <c r="O118" s="275">
        <f t="shared" ref="O118:O124" ca="1" si="28">IF(TODAY()&lt;=L118,0,MIN((TODAY()-L118)/(M118-L118+1),100%))</f>
        <v>1</v>
      </c>
      <c r="P118" s="274">
        <f t="shared" ca="1" si="18"/>
        <v>-0.75</v>
      </c>
      <c r="Q118" s="283" t="s">
        <v>38</v>
      </c>
      <c r="R118" s="229" t="s">
        <v>1954</v>
      </c>
      <c r="S118" s="223">
        <v>8.1</v>
      </c>
      <c r="T118" s="223">
        <f t="shared" si="22"/>
        <v>1</v>
      </c>
      <c r="U118" s="223">
        <f t="shared" ref="U118:U124" si="29">SUM(V118:CH118)-T118</f>
        <v>0</v>
      </c>
      <c r="V118" s="79"/>
      <c r="W118" s="79"/>
      <c r="X118" s="79"/>
      <c r="Y118" s="79"/>
      <c r="Z118" s="79"/>
      <c r="AA118" s="79"/>
      <c r="AB118" s="79"/>
      <c r="AC118" s="92"/>
      <c r="AD118" s="79"/>
      <c r="AE118" s="79"/>
      <c r="AF118" s="79"/>
      <c r="AG118" s="79"/>
      <c r="AH118" s="79"/>
      <c r="AI118" s="230"/>
      <c r="AJ118" s="226"/>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outlineLevel="1">
      <c r="A119" s="30" t="str">
        <f t="shared" si="21"/>
        <v>modesg_out_emss_vclsorigem_scp1_emss</v>
      </c>
      <c r="B119" s="142" t="s">
        <v>26</v>
      </c>
      <c r="C119" s="138" t="s">
        <v>311</v>
      </c>
      <c r="D119" s="252" t="s">
        <v>40</v>
      </c>
      <c r="E119" s="253" t="s">
        <v>332</v>
      </c>
      <c r="F119" s="253"/>
      <c r="G119" s="252" t="s">
        <v>320</v>
      </c>
      <c r="H119" s="254" t="str">
        <f>VLOOKUP(A119,'2. Status Detalhe Campos'!$A$7:$G$574,7,0)</f>
        <v>5. Em Correção</v>
      </c>
      <c r="I119" s="228" t="s">
        <v>38</v>
      </c>
      <c r="J119" s="153">
        <v>45607</v>
      </c>
      <c r="K119" s="153">
        <v>45608</v>
      </c>
      <c r="L119" s="278">
        <f t="array" ref="L119">MIN(IF(V119:CH119&gt;0,$V$16:$CH$16))</f>
        <v>45608</v>
      </c>
      <c r="M119" s="277">
        <f t="array" ref="M119">MAX(IF(V119:CH119&gt;0,$V$16:$CH$16))</f>
        <v>45608</v>
      </c>
      <c r="N119" s="275">
        <f>VLOOKUP(H119,Auxiliar!$B$16:$E$24,4,0)</f>
        <v>0</v>
      </c>
      <c r="O119" s="275">
        <f t="shared" ca="1" si="28"/>
        <v>1</v>
      </c>
      <c r="P119" s="274">
        <f t="shared" ca="1" si="18"/>
        <v>-1</v>
      </c>
      <c r="Q119" s="283" t="s">
        <v>38</v>
      </c>
      <c r="R119" s="229" t="s">
        <v>1954</v>
      </c>
      <c r="S119" s="233">
        <v>3</v>
      </c>
      <c r="T119" s="223">
        <f t="shared" si="22"/>
        <v>0.4</v>
      </c>
      <c r="U119" s="223">
        <f t="shared" si="29"/>
        <v>9.9999999999999978E-2</v>
      </c>
      <c r="V119" s="79"/>
      <c r="W119" s="79"/>
      <c r="X119" s="79"/>
      <c r="Y119" s="79"/>
      <c r="Z119" s="79"/>
      <c r="AA119" s="79"/>
      <c r="AB119" s="79"/>
      <c r="AC119" s="92"/>
      <c r="AD119" s="79"/>
      <c r="AE119" s="79"/>
      <c r="AF119" s="79"/>
      <c r="AG119" s="79"/>
      <c r="AH119" s="79"/>
      <c r="AI119" s="230"/>
      <c r="AJ119" s="226">
        <v>0.5</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outlineLevel="1">
      <c r="A120" s="30" t="str">
        <f t="shared" si="21"/>
        <v>modesg_out_emss_vclsorigem_scp2_emss</v>
      </c>
      <c r="B120" s="142" t="s">
        <v>26</v>
      </c>
      <c r="C120" s="138" t="s">
        <v>311</v>
      </c>
      <c r="D120" s="252" t="s">
        <v>40</v>
      </c>
      <c r="E120" s="253" t="s">
        <v>332</v>
      </c>
      <c r="F120" s="253"/>
      <c r="G120" s="252" t="s">
        <v>321</v>
      </c>
      <c r="H120" s="254" t="str">
        <f>VLOOKUP(A120,'2. Status Detalhe Campos'!$A$7:$G$574,7,0)</f>
        <v>5. Em Correção</v>
      </c>
      <c r="I120" s="228" t="s">
        <v>38</v>
      </c>
      <c r="J120" s="153">
        <v>45607</v>
      </c>
      <c r="K120" s="153">
        <v>45608</v>
      </c>
      <c r="L120" s="278">
        <f t="array" ref="L120">MIN(IF(V120:CH120&gt;0,$V$16:$CH$16))</f>
        <v>45608</v>
      </c>
      <c r="M120" s="277">
        <f t="array" ref="M120">MAX(IF(V120:CH120&gt;0,$V$16:$CH$16))</f>
        <v>45609</v>
      </c>
      <c r="N120" s="275">
        <f>VLOOKUP(H120,Auxiliar!$B$16:$E$24,4,0)</f>
        <v>0</v>
      </c>
      <c r="O120" s="275">
        <f t="shared" ca="1" si="28"/>
        <v>1</v>
      </c>
      <c r="P120" s="274">
        <f t="shared" ca="1" si="18"/>
        <v>-1</v>
      </c>
      <c r="Q120" s="283" t="s">
        <v>38</v>
      </c>
      <c r="R120" s="229" t="s">
        <v>1954</v>
      </c>
      <c r="S120" s="233">
        <v>3</v>
      </c>
      <c r="T120" s="223">
        <f t="shared" si="22"/>
        <v>0.4</v>
      </c>
      <c r="U120" s="223">
        <f t="shared" si="29"/>
        <v>0.4</v>
      </c>
      <c r="V120" s="79"/>
      <c r="W120" s="79"/>
      <c r="X120" s="79"/>
      <c r="Y120" s="79"/>
      <c r="Z120" s="79"/>
      <c r="AA120" s="79"/>
      <c r="AB120" s="79"/>
      <c r="AC120" s="92"/>
      <c r="AD120" s="79"/>
      <c r="AE120" s="79"/>
      <c r="AF120" s="79"/>
      <c r="AG120" s="79"/>
      <c r="AH120" s="79"/>
      <c r="AI120" s="230"/>
      <c r="AJ120" s="226">
        <v>0.5</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outlineLevel="1">
      <c r="A121" s="30" t="str">
        <f t="shared" si="21"/>
        <v>modesg_out_emss_vclsorigem_scp3_emss</v>
      </c>
      <c r="B121" s="142" t="s">
        <v>26</v>
      </c>
      <c r="C121" s="138" t="s">
        <v>311</v>
      </c>
      <c r="D121" s="252" t="s">
        <v>40</v>
      </c>
      <c r="E121" s="253" t="s">
        <v>332</v>
      </c>
      <c r="F121" s="253"/>
      <c r="G121" s="252" t="s">
        <v>322</v>
      </c>
      <c r="H121" s="254" t="str">
        <f>VLOOKUP(A121,'2. Status Detalhe Campos'!$A$7:$G$574,7,0)</f>
        <v>1. Concluído</v>
      </c>
      <c r="I121" s="228" t="s">
        <v>38</v>
      </c>
      <c r="J121" s="153">
        <v>45607</v>
      </c>
      <c r="K121" s="153">
        <v>45608</v>
      </c>
      <c r="L121" s="278">
        <f t="array" ref="L121">MIN(IF(V121:CH121&gt;0,$V$16:$CH$16))</f>
        <v>45609</v>
      </c>
      <c r="M121" s="277">
        <f t="array" ref="M121">MAX(IF(V121:CH121&gt;0,$V$16:$CH$16))</f>
        <v>45609</v>
      </c>
      <c r="N121" s="275">
        <f>VLOOKUP(H121,Auxiliar!$B$16:$E$24,4,0)</f>
        <v>1</v>
      </c>
      <c r="O121" s="275">
        <f t="shared" ca="1" si="28"/>
        <v>1</v>
      </c>
      <c r="P121" s="274">
        <f t="shared" ca="1" si="18"/>
        <v>0</v>
      </c>
      <c r="Q121" s="283" t="s">
        <v>38</v>
      </c>
      <c r="R121" s="229" t="s">
        <v>1954</v>
      </c>
      <c r="S121" s="233">
        <v>3</v>
      </c>
      <c r="T121" s="223">
        <f t="shared" si="22"/>
        <v>0.4</v>
      </c>
      <c r="U121" s="223">
        <f t="shared" si="29"/>
        <v>0</v>
      </c>
      <c r="V121" s="79"/>
      <c r="W121" s="79"/>
      <c r="X121" s="79"/>
      <c r="Y121" s="79"/>
      <c r="Z121" s="79"/>
      <c r="AA121" s="79"/>
      <c r="AB121" s="79"/>
      <c r="AC121" s="92"/>
      <c r="AD121" s="79"/>
      <c r="AE121" s="79"/>
      <c r="AF121" s="79"/>
      <c r="AG121" s="79"/>
      <c r="AH121" s="79"/>
      <c r="AI121" s="230"/>
      <c r="AJ121" s="226"/>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outlineLevel="1">
      <c r="A122" s="30" t="str">
        <f t="shared" si="21"/>
        <v>modesg_out_emss_vclsscp1_emss</v>
      </c>
      <c r="B122" s="142" t="s">
        <v>26</v>
      </c>
      <c r="C122" s="138" t="s">
        <v>311</v>
      </c>
      <c r="D122" s="252" t="s">
        <v>40</v>
      </c>
      <c r="E122" s="253" t="s">
        <v>332</v>
      </c>
      <c r="F122" s="253"/>
      <c r="G122" s="252" t="s">
        <v>286</v>
      </c>
      <c r="H122" s="254" t="str">
        <f>VLOOKUP(A122,'2. Status Detalhe Campos'!$A$7:$G$574,7,0)</f>
        <v>5. Em Correção</v>
      </c>
      <c r="I122" s="228" t="s">
        <v>38</v>
      </c>
      <c r="J122" s="153">
        <v>45607</v>
      </c>
      <c r="K122" s="153">
        <v>45608</v>
      </c>
      <c r="L122" s="278">
        <f t="array" ref="L122">MIN(IF(V122:CH122&gt;0,$V$16:$CH$16))</f>
        <v>45609</v>
      </c>
      <c r="M122" s="277">
        <f t="array" ref="M122">MAX(IF(V122:CH122&gt;0,$V$16:$CH$16))</f>
        <v>45611</v>
      </c>
      <c r="N122" s="275">
        <f>VLOOKUP(H122,Auxiliar!$B$16:$E$24,4,0)</f>
        <v>0</v>
      </c>
      <c r="O122" s="275">
        <f t="shared" ca="1" si="28"/>
        <v>1</v>
      </c>
      <c r="P122" s="274">
        <f t="shared" ca="1" si="18"/>
        <v>-1</v>
      </c>
      <c r="Q122" s="283" t="s">
        <v>38</v>
      </c>
      <c r="R122" s="229" t="s">
        <v>1954</v>
      </c>
      <c r="S122" s="223">
        <v>16.100000000000001</v>
      </c>
      <c r="T122" s="223">
        <f t="shared" si="22"/>
        <v>2</v>
      </c>
      <c r="U122" s="223">
        <f t="shared" si="29"/>
        <v>0</v>
      </c>
      <c r="V122" s="79"/>
      <c r="W122" s="79"/>
      <c r="X122" s="79"/>
      <c r="Y122" s="79"/>
      <c r="Z122" s="79"/>
      <c r="AA122" s="79"/>
      <c r="AB122" s="79"/>
      <c r="AC122" s="92"/>
      <c r="AD122" s="79"/>
      <c r="AE122" s="79"/>
      <c r="AF122" s="79"/>
      <c r="AG122" s="79"/>
      <c r="AH122" s="79"/>
      <c r="AI122" s="230"/>
      <c r="AJ122" s="226"/>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outlineLevel="1">
      <c r="A123" s="30" t="str">
        <f t="shared" si="21"/>
        <v>modesg_out_emss_vclsscp2_emss</v>
      </c>
      <c r="B123" s="142" t="s">
        <v>26</v>
      </c>
      <c r="C123" s="138" t="s">
        <v>311</v>
      </c>
      <c r="D123" s="252" t="s">
        <v>40</v>
      </c>
      <c r="E123" s="253" t="s">
        <v>332</v>
      </c>
      <c r="F123" s="253"/>
      <c r="G123" s="252" t="s">
        <v>287</v>
      </c>
      <c r="H123" s="254" t="str">
        <f>VLOOKUP(A123,'2. Status Detalhe Campos'!$A$7:$G$574,7,0)</f>
        <v>5. Em Correção</v>
      </c>
      <c r="I123" s="228" t="s">
        <v>38</v>
      </c>
      <c r="J123" s="153">
        <v>45607</v>
      </c>
      <c r="K123" s="153">
        <v>45608</v>
      </c>
      <c r="L123" s="278">
        <f t="array" ref="L123">MIN(IF(V123:CH123&gt;0,$V$16:$CH$16))</f>
        <v>45611</v>
      </c>
      <c r="M123" s="277">
        <f t="array" ref="M123">MAX(IF(V123:CH123&gt;0,$V$16:$CH$16))</f>
        <v>45615</v>
      </c>
      <c r="N123" s="275">
        <f>VLOOKUP(H123,Auxiliar!$B$16:$E$24,4,0)</f>
        <v>0</v>
      </c>
      <c r="O123" s="275">
        <f t="shared" ca="1" si="28"/>
        <v>1</v>
      </c>
      <c r="P123" s="274">
        <f t="shared" ca="1" si="18"/>
        <v>-1</v>
      </c>
      <c r="Q123" s="283" t="s">
        <v>38</v>
      </c>
      <c r="R123" s="229" t="s">
        <v>1954</v>
      </c>
      <c r="S123" s="223">
        <v>16.100000000000001</v>
      </c>
      <c r="T123" s="223">
        <f t="shared" si="22"/>
        <v>2</v>
      </c>
      <c r="U123" s="223">
        <f t="shared" si="29"/>
        <v>0</v>
      </c>
      <c r="V123" s="79"/>
      <c r="W123" s="79"/>
      <c r="X123" s="79"/>
      <c r="Y123" s="79"/>
      <c r="Z123" s="79"/>
      <c r="AA123" s="79"/>
      <c r="AB123" s="79"/>
      <c r="AC123" s="92"/>
      <c r="AD123" s="79"/>
      <c r="AE123" s="79"/>
      <c r="AF123" s="79"/>
      <c r="AG123" s="79"/>
      <c r="AH123" s="79"/>
      <c r="AI123" s="230"/>
      <c r="AJ123" s="226"/>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outlineLevel="1">
      <c r="A124" s="30" t="str">
        <f t="shared" si="21"/>
        <v>modesg_out_emss_vclsscp3_emss</v>
      </c>
      <c r="B124" s="142" t="s">
        <v>26</v>
      </c>
      <c r="C124" s="138" t="s">
        <v>311</v>
      </c>
      <c r="D124" s="252" t="s">
        <v>40</v>
      </c>
      <c r="E124" s="253" t="s">
        <v>332</v>
      </c>
      <c r="F124" s="253"/>
      <c r="G124" s="252" t="s">
        <v>288</v>
      </c>
      <c r="H124" s="254" t="str">
        <f>VLOOKUP(A124,'2. Status Detalhe Campos'!$A$7:$G$574,7,0)</f>
        <v>1. Concluído</v>
      </c>
      <c r="I124" s="228" t="s">
        <v>38</v>
      </c>
      <c r="J124" s="153">
        <v>45607</v>
      </c>
      <c r="K124" s="153">
        <v>45608</v>
      </c>
      <c r="L124" s="278">
        <f t="array" ref="L124">MIN(IF(V124:CH124&gt;0,$V$16:$CH$16))</f>
        <v>45615</v>
      </c>
      <c r="M124" s="277">
        <f t="array" ref="M124">MAX(IF(V124:CH124&gt;0,$V$16:$CH$16))</f>
        <v>45617</v>
      </c>
      <c r="N124" s="275">
        <f>VLOOKUP(H124,Auxiliar!$B$16:$E$24,4,0)</f>
        <v>1</v>
      </c>
      <c r="O124" s="275">
        <f t="shared" ca="1" si="28"/>
        <v>1</v>
      </c>
      <c r="P124" s="274">
        <f t="shared" ca="1" si="18"/>
        <v>0</v>
      </c>
      <c r="Q124" s="283" t="s">
        <v>38</v>
      </c>
      <c r="R124" s="229" t="s">
        <v>1954</v>
      </c>
      <c r="S124" s="223">
        <v>16.100000000000001</v>
      </c>
      <c r="T124" s="223">
        <f t="shared" si="22"/>
        <v>2</v>
      </c>
      <c r="U124" s="232">
        <f t="shared" si="29"/>
        <v>0.29999999999999982</v>
      </c>
      <c r="V124" s="79"/>
      <c r="W124" s="79"/>
      <c r="X124" s="79"/>
      <c r="Y124" s="79"/>
      <c r="Z124" s="79"/>
      <c r="AA124" s="79"/>
      <c r="AB124" s="79"/>
      <c r="AC124" s="92"/>
      <c r="AD124" s="79"/>
      <c r="AE124" s="79"/>
      <c r="AF124" s="79"/>
      <c r="AG124" s="79"/>
      <c r="AH124" s="79"/>
      <c r="AI124" s="230"/>
      <c r="AJ124" s="226"/>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 r="A125" s="30"/>
      <c r="B125" s="142" t="s">
        <v>26</v>
      </c>
      <c r="C125" s="138" t="s">
        <v>311</v>
      </c>
      <c r="D125" s="134"/>
      <c r="E125" s="259" t="s">
        <v>334</v>
      </c>
      <c r="F125" s="259" t="s">
        <v>1981</v>
      </c>
      <c r="G125" s="260">
        <f>COUNTA(G126:G137)</f>
        <v>12</v>
      </c>
      <c r="H125" s="136"/>
      <c r="I125" s="228" t="s">
        <v>38</v>
      </c>
      <c r="J125" s="257">
        <f>MIN(J126:J137)</f>
        <v>45624</v>
      </c>
      <c r="K125" s="228"/>
      <c r="L125" s="257">
        <f>MIN(L126:L137)</f>
        <v>45630</v>
      </c>
      <c r="M125" s="258">
        <f>MAX(M126:M137)</f>
        <v>45645</v>
      </c>
      <c r="N125" s="279">
        <f>SUMPRODUCT(N126:N137,T126:T137)/SUM(T126:T137)</f>
        <v>0</v>
      </c>
      <c r="O125" s="279">
        <f ca="1">SUMPRODUCT(O126:O137,T126:T137)/SUM(T126:T137)</f>
        <v>0</v>
      </c>
      <c r="P125" s="274">
        <f t="shared" ca="1" si="18"/>
        <v>0</v>
      </c>
      <c r="Q125" s="283"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4"/>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outlineLevel="1">
      <c r="A126" s="30" t="str">
        <f t="shared" si="21"/>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8">
        <f t="array" ref="L126">MIN(IF(V126:CH126&gt;0,$V$16:$CH$16))</f>
        <v>45630</v>
      </c>
      <c r="M126" s="277">
        <f t="array" ref="M126">MAX(IF(V126:CH126&gt;0,$V$16:$CH$16))</f>
        <v>45630</v>
      </c>
      <c r="N126" s="275">
        <f>VLOOKUP(H126,Auxiliar!$B$16:$E$24,4,0)</f>
        <v>0</v>
      </c>
      <c r="O126" s="275">
        <f t="shared" ref="O126:O137" ca="1" si="30">IF(TODAY()&lt;=L126,0,MIN((TODAY()-L126)/(M126-L126+1),100%))</f>
        <v>0</v>
      </c>
      <c r="P126" s="274">
        <f t="shared" ca="1" si="18"/>
        <v>0</v>
      </c>
      <c r="Q126" s="274"/>
      <c r="R126" s="229"/>
      <c r="S126" s="223">
        <v>4.0999999999999996</v>
      </c>
      <c r="T126" s="223">
        <f t="shared" si="22"/>
        <v>0.5</v>
      </c>
      <c r="U126" s="223">
        <f t="shared" ref="U126:U137" si="31">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outlineLevel="1">
      <c r="A127" s="30" t="str">
        <f t="shared" si="21"/>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8">
        <f t="array" ref="L127">MIN(IF(V127:CH127&gt;0,$V$16:$CH$16))</f>
        <v>45630</v>
      </c>
      <c r="M127" s="277">
        <f t="array" ref="M127">MAX(IF(V127:CH127&gt;0,$V$16:$CH$16))</f>
        <v>45630</v>
      </c>
      <c r="N127" s="275">
        <f>VLOOKUP(H127,Auxiliar!$B$16:$E$24,4,0)</f>
        <v>0</v>
      </c>
      <c r="O127" s="275">
        <f t="shared" ca="1" si="30"/>
        <v>0</v>
      </c>
      <c r="P127" s="274">
        <f t="shared" ca="1" si="18"/>
        <v>0</v>
      </c>
      <c r="Q127" s="274"/>
      <c r="R127" s="229"/>
      <c r="S127" s="223">
        <v>4.0999999999999996</v>
      </c>
      <c r="T127" s="223">
        <f t="shared" si="22"/>
        <v>0.5</v>
      </c>
      <c r="U127" s="223">
        <f t="shared" si="31"/>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outlineLevel="1">
      <c r="A128" s="30" t="str">
        <f t="shared" si="21"/>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8">
        <f t="array" ref="L128">MIN(IF(V128:CH128&gt;0,$V$16:$CH$16))</f>
        <v>45631</v>
      </c>
      <c r="M128" s="277">
        <f t="array" ref="M128">MAX(IF(V128:CH128&gt;0,$V$16:$CH$16))</f>
        <v>45631</v>
      </c>
      <c r="N128" s="275">
        <f>VLOOKUP(H128,Auxiliar!$B$16:$E$24,4,0)</f>
        <v>0</v>
      </c>
      <c r="O128" s="275">
        <f t="shared" ca="1" si="30"/>
        <v>0</v>
      </c>
      <c r="P128" s="274">
        <f t="shared" ca="1" si="18"/>
        <v>0</v>
      </c>
      <c r="Q128" s="274"/>
      <c r="R128" s="229"/>
      <c r="S128" s="223">
        <v>4.0999999999999996</v>
      </c>
      <c r="T128" s="223">
        <f t="shared" si="22"/>
        <v>0.5</v>
      </c>
      <c r="U128" s="223">
        <f t="shared" si="31"/>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outlineLevel="1">
      <c r="A129" s="30" t="str">
        <f t="shared" si="21"/>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8">
        <f t="array" ref="L129">MIN(IF(V129:CH129&gt;0,$V$16:$CH$16))</f>
        <v>45631</v>
      </c>
      <c r="M129" s="277">
        <f t="array" ref="M129">MAX(IF(V129:CH129&gt;0,$V$16:$CH$16))</f>
        <v>45631</v>
      </c>
      <c r="N129" s="275">
        <f>VLOOKUP(H129,Auxiliar!$B$16:$E$24,4,0)</f>
        <v>0</v>
      </c>
      <c r="O129" s="275">
        <f t="shared" ca="1" si="30"/>
        <v>0</v>
      </c>
      <c r="P129" s="274">
        <f t="shared" ca="1" si="18"/>
        <v>0</v>
      </c>
      <c r="Q129" s="274"/>
      <c r="R129" s="229"/>
      <c r="S129" s="223">
        <v>4.0999999999999996</v>
      </c>
      <c r="T129" s="223">
        <f t="shared" si="22"/>
        <v>0.5</v>
      </c>
      <c r="U129" s="223">
        <f t="shared" si="31"/>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outlineLevel="1">
      <c r="A130" s="30" t="str">
        <f t="shared" si="21"/>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8">
        <f t="array" ref="L130">MIN(IF(V130:CH130&gt;0,$V$16:$CH$16))</f>
        <v>45632</v>
      </c>
      <c r="M130" s="277">
        <f t="array" ref="M130">MAX(IF(V130:CH130&gt;0,$V$16:$CH$16))</f>
        <v>45635</v>
      </c>
      <c r="N130" s="275">
        <f>VLOOKUP(H130,Auxiliar!$B$16:$E$24,4,0)</f>
        <v>0</v>
      </c>
      <c r="O130" s="275">
        <f t="shared" ca="1" si="30"/>
        <v>0</v>
      </c>
      <c r="P130" s="274">
        <f t="shared" ca="1" si="18"/>
        <v>0</v>
      </c>
      <c r="Q130" s="274"/>
      <c r="R130" s="229"/>
      <c r="S130" s="223">
        <v>16.100000000000001</v>
      </c>
      <c r="T130" s="223">
        <f t="shared" si="22"/>
        <v>2</v>
      </c>
      <c r="U130" s="223">
        <f t="shared" si="31"/>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outlineLevel="1">
      <c r="A131" s="30" t="str">
        <f t="shared" si="21"/>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8">
        <f t="array" ref="L131">MIN(IF(V131:CH131&gt;0,$V$16:$CH$16))</f>
        <v>45636</v>
      </c>
      <c r="M131" s="277">
        <f t="array" ref="M131">MAX(IF(V131:CH131&gt;0,$V$16:$CH$16))</f>
        <v>45637</v>
      </c>
      <c r="N131" s="275">
        <f>VLOOKUP(H131,Auxiliar!$B$16:$E$24,4,0)</f>
        <v>0</v>
      </c>
      <c r="O131" s="275">
        <f t="shared" ca="1" si="30"/>
        <v>0</v>
      </c>
      <c r="P131" s="274">
        <f t="shared" ca="1" si="18"/>
        <v>0</v>
      </c>
      <c r="Q131" s="274"/>
      <c r="R131" s="229"/>
      <c r="S131" s="223">
        <v>16.100000000000001</v>
      </c>
      <c r="T131" s="223">
        <f t="shared" si="22"/>
        <v>2</v>
      </c>
      <c r="U131" s="223">
        <f t="shared" si="31"/>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outlineLevel="1">
      <c r="A132" s="30" t="str">
        <f t="shared" si="21"/>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8">
        <f t="array" ref="L132">MIN(IF(V132:CH132&gt;0,$V$16:$CH$16))</f>
        <v>45638</v>
      </c>
      <c r="M132" s="277">
        <f t="array" ref="M132">MAX(IF(V132:CH132&gt;0,$V$16:$CH$16))</f>
        <v>45638</v>
      </c>
      <c r="N132" s="275">
        <f>VLOOKUP(H132,Auxiliar!$B$16:$E$24,4,0)</f>
        <v>0</v>
      </c>
      <c r="O132" s="275">
        <f t="shared" ca="1" si="30"/>
        <v>0</v>
      </c>
      <c r="P132" s="274">
        <f t="shared" ca="1" si="18"/>
        <v>0</v>
      </c>
      <c r="Q132" s="274"/>
      <c r="R132" s="229"/>
      <c r="S132" s="223">
        <v>8.1</v>
      </c>
      <c r="T132" s="223">
        <f t="shared" si="22"/>
        <v>1</v>
      </c>
      <c r="U132" s="223">
        <f t="shared" si="31"/>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outlineLevel="1">
      <c r="A133" s="30" t="str">
        <f t="shared" si="21"/>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8">
        <f t="array" ref="L133">MIN(IF(V133:CH133&gt;0,$V$16:$CH$16))</f>
        <v>45639</v>
      </c>
      <c r="M133" s="277">
        <f t="array" ref="M133">MAX(IF(V133:CH133&gt;0,$V$16:$CH$16))</f>
        <v>45639</v>
      </c>
      <c r="N133" s="275">
        <f>VLOOKUP(H133,Auxiliar!$B$16:$E$24,4,0)</f>
        <v>0</v>
      </c>
      <c r="O133" s="275">
        <f t="shared" ca="1" si="30"/>
        <v>0</v>
      </c>
      <c r="P133" s="274">
        <f t="shared" ca="1" si="18"/>
        <v>0</v>
      </c>
      <c r="Q133" s="274"/>
      <c r="R133" s="229"/>
      <c r="S133" s="223">
        <v>8.1</v>
      </c>
      <c r="T133" s="223">
        <f t="shared" si="22"/>
        <v>1</v>
      </c>
      <c r="U133" s="223">
        <f t="shared" si="31"/>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outlineLevel="1">
      <c r="A134" s="30" t="str">
        <f t="shared" si="21"/>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8">
        <f t="array" ref="L134">MIN(IF(V134:CH134&gt;0,$V$16:$CH$16))</f>
        <v>45642</v>
      </c>
      <c r="M134" s="277">
        <f t="array" ref="M134">MAX(IF(V134:CH134&gt;0,$V$16:$CH$16))</f>
        <v>45642</v>
      </c>
      <c r="N134" s="275">
        <f>VLOOKUP(H134,Auxiliar!$B$16:$E$24,4,0)</f>
        <v>0</v>
      </c>
      <c r="O134" s="275">
        <f t="shared" ca="1" si="30"/>
        <v>0</v>
      </c>
      <c r="P134" s="274">
        <f t="shared" ca="1" si="18"/>
        <v>0</v>
      </c>
      <c r="Q134" s="274"/>
      <c r="R134" s="229"/>
      <c r="S134" s="223">
        <v>8.1</v>
      </c>
      <c r="T134" s="223">
        <f t="shared" si="22"/>
        <v>1</v>
      </c>
      <c r="U134" s="223">
        <f t="shared" si="31"/>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outlineLevel="1">
      <c r="A135" s="30" t="str">
        <f t="shared" si="21"/>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8">
        <f t="array" ref="L135">MIN(IF(V135:CH135&gt;0,$V$16:$CH$16))</f>
        <v>45643</v>
      </c>
      <c r="M135" s="277">
        <f t="array" ref="M135">MAX(IF(V135:CH135&gt;0,$V$16:$CH$16))</f>
        <v>45643</v>
      </c>
      <c r="N135" s="275">
        <f>VLOOKUP(H135,Auxiliar!$B$16:$E$24,4,0)</f>
        <v>0</v>
      </c>
      <c r="O135" s="275">
        <f t="shared" ca="1" si="30"/>
        <v>0</v>
      </c>
      <c r="P135" s="274">
        <f t="shared" ca="1" si="18"/>
        <v>0</v>
      </c>
      <c r="Q135" s="274"/>
      <c r="R135" s="229"/>
      <c r="S135" s="223">
        <v>8.1</v>
      </c>
      <c r="T135" s="223">
        <f t="shared" si="22"/>
        <v>1</v>
      </c>
      <c r="U135" s="223">
        <f t="shared" si="31"/>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outlineLevel="1">
      <c r="A136" s="30" t="str">
        <f t="shared" si="21"/>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8">
        <f t="array" ref="L136">MIN(IF(V136:CH136&gt;0,$V$16:$CH$16))</f>
        <v>45644</v>
      </c>
      <c r="M136" s="277">
        <f t="array" ref="M136">MAX(IF(V136:CH136&gt;0,$V$16:$CH$16))</f>
        <v>45644</v>
      </c>
      <c r="N136" s="275">
        <f>VLOOKUP(H136,Auxiliar!$B$16:$E$24,4,0)</f>
        <v>0</v>
      </c>
      <c r="O136" s="275">
        <f t="shared" ca="1" si="30"/>
        <v>0</v>
      </c>
      <c r="P136" s="274">
        <f t="shared" ca="1" si="18"/>
        <v>0</v>
      </c>
      <c r="Q136" s="274"/>
      <c r="R136" s="229"/>
      <c r="S136" s="223">
        <v>4.0999999999999996</v>
      </c>
      <c r="T136" s="223">
        <f t="shared" si="22"/>
        <v>0.5</v>
      </c>
      <c r="U136" s="223">
        <f t="shared" si="31"/>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outlineLevel="1">
      <c r="A137" s="30" t="str">
        <f t="shared" si="21"/>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8">
        <f t="array" ref="L137">MIN(IF(V137:CH137&gt;0,$V$16:$CH$16))</f>
        <v>45644</v>
      </c>
      <c r="M137" s="277">
        <f t="array" ref="M137">MAX(IF(V137:CH137&gt;0,$V$16:$CH$16))</f>
        <v>45645</v>
      </c>
      <c r="N137" s="275">
        <f>VLOOKUP(H137,Auxiliar!$B$16:$E$24,4,0)</f>
        <v>0</v>
      </c>
      <c r="O137" s="275">
        <f t="shared" ca="1" si="30"/>
        <v>0</v>
      </c>
      <c r="P137" s="274">
        <f t="shared" ca="1" si="18"/>
        <v>0</v>
      </c>
      <c r="Q137" s="274"/>
      <c r="R137" s="229"/>
      <c r="S137" s="223">
        <v>8.1</v>
      </c>
      <c r="T137" s="223">
        <f t="shared" si="22"/>
        <v>1</v>
      </c>
      <c r="U137" s="223">
        <f t="shared" si="31"/>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 r="A138" s="30"/>
      <c r="B138" s="142" t="s">
        <v>26</v>
      </c>
      <c r="C138" s="138" t="s">
        <v>26</v>
      </c>
      <c r="D138" s="134"/>
      <c r="E138" s="262" t="s">
        <v>336</v>
      </c>
      <c r="F138" s="259" t="s">
        <v>1981</v>
      </c>
      <c r="G138" s="260">
        <f>COUNTA(G139:G160)</f>
        <v>22</v>
      </c>
      <c r="H138" s="136"/>
      <c r="I138" s="258">
        <f>MAX(I139:I160)</f>
        <v>45589</v>
      </c>
      <c r="J138" s="257">
        <f>MIN(J139:J160)</f>
        <v>45596</v>
      </c>
      <c r="K138" s="258">
        <f>MIN(K139:K160)</f>
        <v>45596</v>
      </c>
      <c r="L138" s="257">
        <f>MIN(L139:L160)</f>
        <v>45600</v>
      </c>
      <c r="M138" s="258">
        <f>MAX(M139:M160)</f>
        <v>45635</v>
      </c>
      <c r="N138" s="279">
        <f>SUMPRODUCT(N139:N160,T139:T160)/SUM(T139:T160)</f>
        <v>0.22727272727272727</v>
      </c>
      <c r="O138" s="279">
        <f ca="1">SUMPRODUCT(O139:O160,T139:T160)/SUM(T139:T160)</f>
        <v>0.40909090909090912</v>
      </c>
      <c r="P138" s="343">
        <f t="shared" ca="1" si="18"/>
        <v>-0.18181818181818185</v>
      </c>
      <c r="Q138" s="283" t="s">
        <v>2036</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4"/>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outlineLevel="1">
      <c r="A139" s="30" t="str">
        <f t="shared" si="21"/>
        <v>lt003_entitynace_esg</v>
      </c>
      <c r="B139" s="142" t="s">
        <v>26</v>
      </c>
      <c r="C139" s="138" t="s">
        <v>26</v>
      </c>
      <c r="D139" s="252" t="s">
        <v>40</v>
      </c>
      <c r="E139" s="256" t="s">
        <v>336</v>
      </c>
      <c r="F139" s="256"/>
      <c r="G139" s="256" t="s">
        <v>337</v>
      </c>
      <c r="H139" s="254" t="str">
        <f>VLOOKUP(A139,'2. Status Detalhe Campos'!$A$7:$G$574,7,0)</f>
        <v>2.1 Em Teste</v>
      </c>
      <c r="I139" s="228">
        <v>45583</v>
      </c>
      <c r="J139" s="234">
        <v>45596</v>
      </c>
      <c r="K139" s="153">
        <v>45596</v>
      </c>
      <c r="L139" s="278">
        <f t="array" ref="L139">MIN(IF(V139:CH139&gt;0,$V$16:$CH$16))</f>
        <v>45623</v>
      </c>
      <c r="M139" s="277">
        <f t="array" ref="M139">MAX(IF(V139:CH139&gt;0,$V$16:$CH$16))</f>
        <v>45623</v>
      </c>
      <c r="N139" s="275">
        <f>VLOOKUP(H139,Auxiliar!$B$16:$E$24,4,0)</f>
        <v>0.25</v>
      </c>
      <c r="O139" s="275">
        <f t="shared" ref="O139:O160" ca="1" si="32">IF(TODAY()&lt;=L139,0,MIN((TODAY()-L139)/(M139-L139+1),100%))</f>
        <v>0</v>
      </c>
      <c r="P139" s="274">
        <f t="shared" ca="1" si="18"/>
        <v>0.25</v>
      </c>
      <c r="Q139" s="274"/>
      <c r="R139" s="229"/>
      <c r="S139" s="223">
        <v>4.0999999999999996</v>
      </c>
      <c r="T139" s="223">
        <f t="shared" si="22"/>
        <v>0.5</v>
      </c>
      <c r="U139" s="223">
        <f t="shared" ref="U139:U160" si="33">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outlineLevel="1">
      <c r="A140" s="30" t="str">
        <f t="shared" si="21"/>
        <v>lt003_entitytxnmy_elgbl_capex_ccm</v>
      </c>
      <c r="B140" s="142" t="s">
        <v>26</v>
      </c>
      <c r="C140" s="138" t="s">
        <v>26</v>
      </c>
      <c r="D140" s="252" t="s">
        <v>40</v>
      </c>
      <c r="E140" s="256" t="s">
        <v>336</v>
      </c>
      <c r="F140" s="256"/>
      <c r="G140" s="256" t="s">
        <v>339</v>
      </c>
      <c r="H140" s="254" t="str">
        <f>VLOOKUP(A140,'2. Status Detalhe Campos'!$A$7:$G$574,7,0)</f>
        <v>2.1 Em Teste</v>
      </c>
      <c r="I140" s="228" t="s">
        <v>38</v>
      </c>
      <c r="J140" s="153">
        <v>45614</v>
      </c>
      <c r="K140" s="153">
        <v>45596</v>
      </c>
      <c r="L140" s="278">
        <f t="array" ref="L140">MIN(IF(V140:CH140&gt;0,$V$16:$CH$16))</f>
        <v>45615</v>
      </c>
      <c r="M140" s="277">
        <f t="array" ref="M140">MAX(IF(V140:CH140&gt;0,$V$16:$CH$16))</f>
        <v>45615</v>
      </c>
      <c r="N140" s="275">
        <f>VLOOKUP(H140,Auxiliar!$B$16:$E$24,4,0)</f>
        <v>0.25</v>
      </c>
      <c r="O140" s="275">
        <f t="shared" ca="1" si="32"/>
        <v>1</v>
      </c>
      <c r="P140" s="274">
        <f t="shared" ca="1" si="18"/>
        <v>-0.75</v>
      </c>
      <c r="Q140" s="274"/>
      <c r="R140" s="229"/>
      <c r="S140" s="223">
        <v>4.0999999999999996</v>
      </c>
      <c r="T140" s="223">
        <f t="shared" si="22"/>
        <v>0.5</v>
      </c>
      <c r="U140" s="223">
        <f t="shared" si="33"/>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outlineLevel="1">
      <c r="A141" s="30" t="str">
        <f t="shared" si="21"/>
        <v>lt003_entitytxnmy_elgbl_trnvr_ccm</v>
      </c>
      <c r="B141" s="142" t="s">
        <v>26</v>
      </c>
      <c r="C141" s="138" t="s">
        <v>26</v>
      </c>
      <c r="D141" s="252" t="s">
        <v>40</v>
      </c>
      <c r="E141" s="256" t="s">
        <v>336</v>
      </c>
      <c r="F141" s="256"/>
      <c r="G141" s="256" t="s">
        <v>340</v>
      </c>
      <c r="H141" s="254" t="str">
        <f>VLOOKUP(A141,'2. Status Detalhe Campos'!$A$7:$G$574,7,0)</f>
        <v>2.1 Em Teste</v>
      </c>
      <c r="I141" s="228" t="s">
        <v>38</v>
      </c>
      <c r="J141" s="153">
        <v>45614</v>
      </c>
      <c r="K141" s="153">
        <v>45596</v>
      </c>
      <c r="L141" s="278">
        <f t="array" ref="L141">MIN(IF(V141:CH141&gt;0,$V$16:$CH$16))</f>
        <v>45615</v>
      </c>
      <c r="M141" s="277">
        <f t="array" ref="M141">MAX(IF(V141:CH141&gt;0,$V$16:$CH$16))</f>
        <v>45615</v>
      </c>
      <c r="N141" s="275">
        <f>VLOOKUP(H141,Auxiliar!$B$16:$E$24,4,0)</f>
        <v>0.25</v>
      </c>
      <c r="O141" s="275">
        <f t="shared" ca="1" si="32"/>
        <v>1</v>
      </c>
      <c r="P141" s="274">
        <f t="shared" ca="1" si="18"/>
        <v>-0.75</v>
      </c>
      <c r="Q141" s="274"/>
      <c r="R141" s="229"/>
      <c r="S141" s="223">
        <v>4.0999999999999996</v>
      </c>
      <c r="T141" s="223">
        <f t="shared" si="22"/>
        <v>0.5</v>
      </c>
      <c r="U141" s="223">
        <f t="shared" si="33"/>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outlineLevel="1">
      <c r="A142" s="30" t="str">
        <f t="shared" si="21"/>
        <v>lt003_entitytxnmy_elgbl_capex_cca</v>
      </c>
      <c r="B142" s="142" t="s">
        <v>26</v>
      </c>
      <c r="C142" s="138" t="s">
        <v>26</v>
      </c>
      <c r="D142" s="252" t="s">
        <v>40</v>
      </c>
      <c r="E142" s="256" t="s">
        <v>336</v>
      </c>
      <c r="F142" s="256"/>
      <c r="G142" s="256" t="s">
        <v>341</v>
      </c>
      <c r="H142" s="254" t="str">
        <f>VLOOKUP(A142,'2. Status Detalhe Campos'!$A$7:$G$574,7,0)</f>
        <v>2.1 Em Teste</v>
      </c>
      <c r="I142" s="228" t="s">
        <v>38</v>
      </c>
      <c r="J142" s="153">
        <v>45614</v>
      </c>
      <c r="K142" s="153">
        <v>45596</v>
      </c>
      <c r="L142" s="278">
        <f t="array" ref="L142">MIN(IF(V142:CH142&gt;0,$V$16:$CH$16))</f>
        <v>45616</v>
      </c>
      <c r="M142" s="277">
        <f t="array" ref="M142">MAX(IF(V142:CH142&gt;0,$V$16:$CH$16))</f>
        <v>45616</v>
      </c>
      <c r="N142" s="275">
        <f>VLOOKUP(H142,Auxiliar!$B$16:$E$24,4,0)</f>
        <v>0.25</v>
      </c>
      <c r="O142" s="275">
        <f t="shared" ca="1" si="32"/>
        <v>1</v>
      </c>
      <c r="P142" s="274">
        <f t="shared" ca="1" si="18"/>
        <v>-0.75</v>
      </c>
      <c r="Q142" s="274"/>
      <c r="R142" s="229"/>
      <c r="S142" s="223">
        <v>4.0999999999999996</v>
      </c>
      <c r="T142" s="223">
        <f t="shared" si="22"/>
        <v>0.5</v>
      </c>
      <c r="U142" s="223">
        <f t="shared" si="33"/>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outlineLevel="1">
      <c r="A143" s="30" t="str">
        <f t="shared" si="21"/>
        <v>lt003_entitytxnmy_elgbl_trnvr_cca</v>
      </c>
      <c r="B143" s="142" t="s">
        <v>26</v>
      </c>
      <c r="C143" s="138" t="s">
        <v>26</v>
      </c>
      <c r="D143" s="252" t="s">
        <v>40</v>
      </c>
      <c r="E143" s="256" t="s">
        <v>336</v>
      </c>
      <c r="F143" s="256"/>
      <c r="G143" s="256" t="s">
        <v>342</v>
      </c>
      <c r="H143" s="254" t="str">
        <f>VLOOKUP(A143,'2. Status Detalhe Campos'!$A$7:$G$574,7,0)</f>
        <v>2.1 Em Teste</v>
      </c>
      <c r="I143" s="228" t="s">
        <v>38</v>
      </c>
      <c r="J143" s="153">
        <v>45614</v>
      </c>
      <c r="K143" s="153">
        <v>45596</v>
      </c>
      <c r="L143" s="278">
        <f t="array" ref="L143">MIN(IF(V143:CH143&gt;0,$V$16:$CH$16))</f>
        <v>45616</v>
      </c>
      <c r="M143" s="277">
        <f t="array" ref="M143">MAX(IF(V143:CH143&gt;0,$V$16:$CH$16))</f>
        <v>45616</v>
      </c>
      <c r="N143" s="275">
        <f>VLOOKUP(H143,Auxiliar!$B$16:$E$24,4,0)</f>
        <v>0.25</v>
      </c>
      <c r="O143" s="275">
        <f t="shared" ca="1" si="32"/>
        <v>1</v>
      </c>
      <c r="P143" s="274">
        <f t="shared" ca="1" si="18"/>
        <v>-0.75</v>
      </c>
      <c r="Q143" s="274"/>
      <c r="R143" s="229"/>
      <c r="S143" s="223">
        <v>4.0999999999999996</v>
      </c>
      <c r="T143" s="223">
        <f t="shared" si="22"/>
        <v>0.5</v>
      </c>
      <c r="U143" s="223">
        <f t="shared" si="33"/>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outlineLevel="1">
      <c r="A144" s="30" t="str">
        <f t="shared" si="21"/>
        <v>lt003_entityenblng_capex_ccm</v>
      </c>
      <c r="B144" s="142" t="s">
        <v>26</v>
      </c>
      <c r="C144" s="138" t="s">
        <v>26</v>
      </c>
      <c r="D144" s="252" t="s">
        <v>40</v>
      </c>
      <c r="E144" s="256" t="s">
        <v>336</v>
      </c>
      <c r="F144" s="256"/>
      <c r="G144" s="256" t="s">
        <v>343</v>
      </c>
      <c r="H144" s="254" t="str">
        <f>VLOOKUP(A144,'2. Status Detalhe Campos'!$A$7:$G$574,7,0)</f>
        <v>2.1 Em Teste</v>
      </c>
      <c r="I144" s="228" t="s">
        <v>38</v>
      </c>
      <c r="J144" s="153">
        <v>45614</v>
      </c>
      <c r="K144" s="153">
        <v>45596</v>
      </c>
      <c r="L144" s="278">
        <f t="array" ref="L144">MIN(IF(V144:CH144&gt;0,$V$16:$CH$16))</f>
        <v>45617</v>
      </c>
      <c r="M144" s="277">
        <f t="array" ref="M144">MAX(IF(V144:CH144&gt;0,$V$16:$CH$16))</f>
        <v>45617</v>
      </c>
      <c r="N144" s="275">
        <f>VLOOKUP(H144,Auxiliar!$B$16:$E$24,4,0)</f>
        <v>0.25</v>
      </c>
      <c r="O144" s="275">
        <f t="shared" ca="1" si="32"/>
        <v>1</v>
      </c>
      <c r="P144" s="274">
        <f t="shared" ca="1" si="18"/>
        <v>-0.75</v>
      </c>
      <c r="Q144" s="274"/>
      <c r="R144" s="229"/>
      <c r="S144" s="223">
        <v>4.0999999999999996</v>
      </c>
      <c r="T144" s="223">
        <f t="shared" si="22"/>
        <v>0.5</v>
      </c>
      <c r="U144" s="223">
        <f t="shared" si="33"/>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outlineLevel="1">
      <c r="A145" s="30" t="str">
        <f t="shared" si="21"/>
        <v>lt003_entityenblng_capex_cca</v>
      </c>
      <c r="B145" s="142" t="s">
        <v>26</v>
      </c>
      <c r="C145" s="138" t="s">
        <v>26</v>
      </c>
      <c r="D145" s="252" t="s">
        <v>40</v>
      </c>
      <c r="E145" s="256" t="s">
        <v>336</v>
      </c>
      <c r="F145" s="256"/>
      <c r="G145" s="256" t="s">
        <v>344</v>
      </c>
      <c r="H145" s="254" t="str">
        <f>VLOOKUP(A145,'2. Status Detalhe Campos'!$A$7:$G$574,7,0)</f>
        <v>2.1 Em Teste</v>
      </c>
      <c r="I145" s="228" t="s">
        <v>38</v>
      </c>
      <c r="J145" s="153">
        <v>45614</v>
      </c>
      <c r="K145" s="153">
        <v>45596</v>
      </c>
      <c r="L145" s="278">
        <f t="array" ref="L145">MIN(IF(V145:CH145&gt;0,$V$16:$CH$16))</f>
        <v>45617</v>
      </c>
      <c r="M145" s="277">
        <f t="array" ref="M145">MAX(IF(V145:CH145&gt;0,$V$16:$CH$16))</f>
        <v>45617</v>
      </c>
      <c r="N145" s="275">
        <f>VLOOKUP(H145,Auxiliar!$B$16:$E$24,4,0)</f>
        <v>0.25</v>
      </c>
      <c r="O145" s="275">
        <f t="shared" ca="1" si="32"/>
        <v>1</v>
      </c>
      <c r="P145" s="274">
        <f t="shared" ca="1" si="18"/>
        <v>-0.75</v>
      </c>
      <c r="Q145" s="274"/>
      <c r="R145" s="229"/>
      <c r="S145" s="223">
        <v>4.0999999999999996</v>
      </c>
      <c r="T145" s="223">
        <f t="shared" si="22"/>
        <v>0.5</v>
      </c>
      <c r="U145" s="223">
        <f t="shared" si="33"/>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outlineLevel="1">
      <c r="A146" s="30" t="str">
        <f t="shared" si="21"/>
        <v>lt003_entitytrnstnl_capex</v>
      </c>
      <c r="B146" s="142" t="s">
        <v>26</v>
      </c>
      <c r="C146" s="138" t="s">
        <v>26</v>
      </c>
      <c r="D146" s="252" t="s">
        <v>40</v>
      </c>
      <c r="E146" s="256" t="s">
        <v>336</v>
      </c>
      <c r="F146" s="256"/>
      <c r="G146" s="256" t="s">
        <v>345</v>
      </c>
      <c r="H146" s="254" t="str">
        <f>VLOOKUP(A146,'2. Status Detalhe Campos'!$A$7:$G$574,7,0)</f>
        <v>2.1 Em Teste</v>
      </c>
      <c r="I146" s="228" t="s">
        <v>38</v>
      </c>
      <c r="J146" s="153">
        <v>45614</v>
      </c>
      <c r="K146" s="153">
        <v>45596</v>
      </c>
      <c r="L146" s="278">
        <f t="array" ref="L146">MIN(IF(V146:CH146&gt;0,$V$16:$CH$16))</f>
        <v>45618</v>
      </c>
      <c r="M146" s="277">
        <f t="array" ref="M146">MAX(IF(V146:CH146&gt;0,$V$16:$CH$16))</f>
        <v>45618</v>
      </c>
      <c r="N146" s="275">
        <f>VLOOKUP(H146,Auxiliar!$B$16:$E$24,4,0)</f>
        <v>0.25</v>
      </c>
      <c r="O146" s="275">
        <f t="shared" ca="1" si="32"/>
        <v>1</v>
      </c>
      <c r="P146" s="274">
        <f t="shared" ref="P146:P210" ca="1" si="34">N146-O146</f>
        <v>-0.75</v>
      </c>
      <c r="Q146" s="274"/>
      <c r="R146" s="229"/>
      <c r="S146" s="223">
        <v>4.0999999999999996</v>
      </c>
      <c r="T146" s="223">
        <f t="shared" si="22"/>
        <v>0.5</v>
      </c>
      <c r="U146" s="223">
        <f t="shared" si="33"/>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outlineLevel="1">
      <c r="A147" s="30" t="str">
        <f t="shared" si="21"/>
        <v>lt003_entitypure_capex_ccm</v>
      </c>
      <c r="B147" s="142" t="s">
        <v>26</v>
      </c>
      <c r="C147" s="138" t="s">
        <v>26</v>
      </c>
      <c r="D147" s="252" t="s">
        <v>40</v>
      </c>
      <c r="E147" s="256" t="s">
        <v>336</v>
      </c>
      <c r="F147" s="256"/>
      <c r="G147" s="256" t="s">
        <v>346</v>
      </c>
      <c r="H147" s="254" t="str">
        <f>VLOOKUP(A147,'2. Status Detalhe Campos'!$A$7:$G$574,7,0)</f>
        <v>2.1 Em Teste</v>
      </c>
      <c r="I147" s="228" t="s">
        <v>38</v>
      </c>
      <c r="J147" s="153">
        <v>45614</v>
      </c>
      <c r="K147" s="153">
        <v>45596</v>
      </c>
      <c r="L147" s="278">
        <f t="array" ref="L147">MIN(IF(V147:CH147&gt;0,$V$16:$CH$16))</f>
        <v>45618</v>
      </c>
      <c r="M147" s="277">
        <f t="array" ref="M147">MAX(IF(V147:CH147&gt;0,$V$16:$CH$16))</f>
        <v>45618</v>
      </c>
      <c r="N147" s="275">
        <f>VLOOKUP(H147,Auxiliar!$B$16:$E$24,4,0)</f>
        <v>0.25</v>
      </c>
      <c r="O147" s="275">
        <f t="shared" ca="1" si="32"/>
        <v>1</v>
      </c>
      <c r="P147" s="274">
        <f t="shared" ca="1" si="34"/>
        <v>-0.75</v>
      </c>
      <c r="Q147" s="274"/>
      <c r="R147" s="229"/>
      <c r="S147" s="223">
        <v>4.0999999999999996</v>
      </c>
      <c r="T147" s="223">
        <f t="shared" si="22"/>
        <v>0.5</v>
      </c>
      <c r="U147" s="223">
        <f t="shared" si="33"/>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outlineLevel="1">
      <c r="A148" s="30" t="str">
        <f t="shared" si="21"/>
        <v>lt003_entityenblng_trnvr_ccm</v>
      </c>
      <c r="B148" s="142" t="s">
        <v>26</v>
      </c>
      <c r="C148" s="138" t="s">
        <v>26</v>
      </c>
      <c r="D148" s="252" t="s">
        <v>40</v>
      </c>
      <c r="E148" s="256" t="s">
        <v>336</v>
      </c>
      <c r="F148" s="256"/>
      <c r="G148" s="256" t="s">
        <v>348</v>
      </c>
      <c r="H148" s="254" t="str">
        <f>VLOOKUP(A148,'2. Status Detalhe Campos'!$A$7:$G$574,7,0)</f>
        <v>2.1 Em Teste</v>
      </c>
      <c r="I148" s="228" t="s">
        <v>38</v>
      </c>
      <c r="J148" s="153">
        <v>45614</v>
      </c>
      <c r="K148" s="153">
        <v>45596</v>
      </c>
      <c r="L148" s="278">
        <f t="array" ref="L148">MIN(IF(V148:CH148&gt;0,$V$16:$CH$16))</f>
        <v>45621</v>
      </c>
      <c r="M148" s="277">
        <f t="array" ref="M148">MAX(IF(V148:CH148&gt;0,$V$16:$CH$16))</f>
        <v>45621</v>
      </c>
      <c r="N148" s="275">
        <f>VLOOKUP(H148,Auxiliar!$B$16:$E$24,4,0)</f>
        <v>0.25</v>
      </c>
      <c r="O148" s="275">
        <f t="shared" ca="1" si="32"/>
        <v>0</v>
      </c>
      <c r="P148" s="274">
        <f t="shared" ca="1" si="34"/>
        <v>0.25</v>
      </c>
      <c r="Q148" s="274"/>
      <c r="R148" s="229"/>
      <c r="S148" s="223">
        <v>4.0999999999999996</v>
      </c>
      <c r="T148" s="223">
        <f t="shared" si="22"/>
        <v>0.5</v>
      </c>
      <c r="U148" s="223">
        <f t="shared" si="33"/>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outlineLevel="1">
      <c r="A149" s="30" t="str">
        <f t="shared" si="21"/>
        <v>lt003_entityenblng_trnvr_cca</v>
      </c>
      <c r="B149" s="142" t="s">
        <v>26</v>
      </c>
      <c r="C149" s="138" t="s">
        <v>26</v>
      </c>
      <c r="D149" s="252" t="s">
        <v>40</v>
      </c>
      <c r="E149" s="256" t="s">
        <v>336</v>
      </c>
      <c r="F149" s="256"/>
      <c r="G149" s="256" t="s">
        <v>349</v>
      </c>
      <c r="H149" s="254" t="str">
        <f>VLOOKUP(A149,'2. Status Detalhe Campos'!$A$7:$G$574,7,0)</f>
        <v>2.1 Em Teste</v>
      </c>
      <c r="I149" s="228" t="s">
        <v>38</v>
      </c>
      <c r="J149" s="153">
        <v>45614</v>
      </c>
      <c r="K149" s="153">
        <v>45596</v>
      </c>
      <c r="L149" s="278">
        <f t="array" ref="L149">MIN(IF(V149:CH149&gt;0,$V$16:$CH$16))</f>
        <v>45621</v>
      </c>
      <c r="M149" s="277">
        <f t="array" ref="M149">MAX(IF(V149:CH149&gt;0,$V$16:$CH$16))</f>
        <v>45621</v>
      </c>
      <c r="N149" s="275">
        <f>VLOOKUP(H149,Auxiliar!$B$16:$E$24,4,0)</f>
        <v>0.25</v>
      </c>
      <c r="O149" s="275">
        <f t="shared" ca="1" si="32"/>
        <v>0</v>
      </c>
      <c r="P149" s="274">
        <f t="shared" ca="1" si="34"/>
        <v>0.25</v>
      </c>
      <c r="Q149" s="274"/>
      <c r="R149" s="229"/>
      <c r="S149" s="223">
        <v>4.0999999999999996</v>
      </c>
      <c r="T149" s="223">
        <f t="shared" si="22"/>
        <v>0.5</v>
      </c>
      <c r="U149" s="223">
        <f t="shared" si="33"/>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outlineLevel="1">
      <c r="A150" s="30" t="str">
        <f t="shared" si="21"/>
        <v>lt003_entitytrnstnl_trnvr</v>
      </c>
      <c r="B150" s="142" t="s">
        <v>26</v>
      </c>
      <c r="C150" s="138" t="s">
        <v>26</v>
      </c>
      <c r="D150" s="252" t="s">
        <v>40</v>
      </c>
      <c r="E150" s="256" t="s">
        <v>336</v>
      </c>
      <c r="F150" s="256"/>
      <c r="G150" s="256" t="s">
        <v>350</v>
      </c>
      <c r="H150" s="254" t="str">
        <f>VLOOKUP(A150,'2. Status Detalhe Campos'!$A$7:$G$574,7,0)</f>
        <v>2.1 Em Teste</v>
      </c>
      <c r="I150" s="228" t="s">
        <v>38</v>
      </c>
      <c r="J150" s="153">
        <v>45614</v>
      </c>
      <c r="K150" s="153">
        <v>45596</v>
      </c>
      <c r="L150" s="278">
        <f t="array" ref="L150">MIN(IF(V150:CH150&gt;0,$V$16:$CH$16))</f>
        <v>45622</v>
      </c>
      <c r="M150" s="277">
        <f t="array" ref="M150">MAX(IF(V150:CH150&gt;0,$V$16:$CH$16))</f>
        <v>45622</v>
      </c>
      <c r="N150" s="275">
        <f>VLOOKUP(H150,Auxiliar!$B$16:$E$24,4,0)</f>
        <v>0.25</v>
      </c>
      <c r="O150" s="275">
        <f t="shared" ca="1" si="32"/>
        <v>0</v>
      </c>
      <c r="P150" s="274">
        <f t="shared" ca="1" si="34"/>
        <v>0.25</v>
      </c>
      <c r="Q150" s="274"/>
      <c r="R150" s="229"/>
      <c r="S150" s="223">
        <v>4.0999999999999996</v>
      </c>
      <c r="T150" s="223">
        <f t="shared" si="22"/>
        <v>0.5</v>
      </c>
      <c r="U150" s="223">
        <f t="shared" si="33"/>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outlineLevel="1">
      <c r="A151" s="30" t="str">
        <f t="shared" si="21"/>
        <v>lt003_entitypure_trnvr_ccm</v>
      </c>
      <c r="B151" s="142" t="s">
        <v>26</v>
      </c>
      <c r="C151" s="138" t="s">
        <v>26</v>
      </c>
      <c r="D151" s="252" t="s">
        <v>40</v>
      </c>
      <c r="E151" s="256" t="s">
        <v>336</v>
      </c>
      <c r="F151" s="256"/>
      <c r="G151" s="256" t="s">
        <v>351</v>
      </c>
      <c r="H151" s="254" t="str">
        <f>VLOOKUP(A151,'2. Status Detalhe Campos'!$A$7:$G$574,7,0)</f>
        <v>2.1 Em Teste</v>
      </c>
      <c r="I151" s="228" t="s">
        <v>38</v>
      </c>
      <c r="J151" s="153">
        <v>45614</v>
      </c>
      <c r="K151" s="153">
        <v>45596</v>
      </c>
      <c r="L151" s="278">
        <f t="array" ref="L151">MIN(IF(V151:CH151&gt;0,$V$16:$CH$16))</f>
        <v>45622</v>
      </c>
      <c r="M151" s="277">
        <f t="array" ref="M151">MAX(IF(V151:CH151&gt;0,$V$16:$CH$16))</f>
        <v>45622</v>
      </c>
      <c r="N151" s="275">
        <f>VLOOKUP(H151,Auxiliar!$B$16:$E$24,4,0)</f>
        <v>0.25</v>
      </c>
      <c r="O151" s="275">
        <f t="shared" ca="1" si="32"/>
        <v>0</v>
      </c>
      <c r="P151" s="274">
        <f t="shared" ca="1" si="34"/>
        <v>0.25</v>
      </c>
      <c r="Q151" s="274"/>
      <c r="R151" s="229"/>
      <c r="S151" s="223">
        <v>4.0999999999999996</v>
      </c>
      <c r="T151" s="223">
        <f t="shared" si="22"/>
        <v>0.5</v>
      </c>
      <c r="U151" s="223">
        <f t="shared" si="33"/>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outlineLevel="1">
      <c r="A152" s="30" t="str">
        <f t="shared" si="21"/>
        <v>lt003_entitypure_trnvr_cca</v>
      </c>
      <c r="B152" s="142" t="s">
        <v>26</v>
      </c>
      <c r="C152" s="138" t="s">
        <v>26</v>
      </c>
      <c r="D152" s="252" t="s">
        <v>40</v>
      </c>
      <c r="E152" s="256" t="s">
        <v>336</v>
      </c>
      <c r="F152" s="256"/>
      <c r="G152" s="256" t="s">
        <v>352</v>
      </c>
      <c r="H152" s="254" t="str">
        <f>VLOOKUP(A152,'2. Status Detalhe Campos'!$A$7:$G$574,7,0)</f>
        <v>2.1 Em Teste</v>
      </c>
      <c r="I152" s="228" t="s">
        <v>38</v>
      </c>
      <c r="J152" s="153">
        <v>45614</v>
      </c>
      <c r="K152" s="153">
        <v>45596</v>
      </c>
      <c r="L152" s="278">
        <f t="array" ref="L152">MIN(IF(V152:CH152&gt;0,$V$16:$CH$16))</f>
        <v>45624</v>
      </c>
      <c r="M152" s="277">
        <f t="array" ref="M152">MAX(IF(V152:CH152&gt;0,$V$16:$CH$16))</f>
        <v>45624</v>
      </c>
      <c r="N152" s="275">
        <f>VLOOKUP(H152,Auxiliar!$B$16:$E$24,4,0)</f>
        <v>0.25</v>
      </c>
      <c r="O152" s="275">
        <f t="shared" ca="1" si="32"/>
        <v>0</v>
      </c>
      <c r="P152" s="274">
        <f t="shared" ca="1" si="34"/>
        <v>0.25</v>
      </c>
      <c r="Q152" s="274"/>
      <c r="R152" s="229"/>
      <c r="S152" s="223">
        <v>4.0999999999999996</v>
      </c>
      <c r="T152" s="223">
        <f t="shared" si="22"/>
        <v>0.5</v>
      </c>
      <c r="U152" s="223">
        <f t="shared" si="33"/>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outlineLevel="1">
      <c r="A153" s="30" t="str">
        <f t="shared" ref="A153:A160" si="35">E153&amp;G153</f>
        <v>lt003_entityflg_excldd_eu_prs_algnd_bnchmrk</v>
      </c>
      <c r="B153" s="142" t="s">
        <v>26</v>
      </c>
      <c r="C153" s="138" t="s">
        <v>26</v>
      </c>
      <c r="D153" s="252" t="s">
        <v>40</v>
      </c>
      <c r="E153" s="256" t="s">
        <v>336</v>
      </c>
      <c r="F153" s="256"/>
      <c r="G153" s="256" t="s">
        <v>357</v>
      </c>
      <c r="H153" s="254" t="str">
        <f>VLOOKUP(A153,'2. Status Detalhe Campos'!$A$7:$G$574,7,0)</f>
        <v>2.1 Em Teste</v>
      </c>
      <c r="I153" s="228" t="s">
        <v>38</v>
      </c>
      <c r="J153" s="153">
        <v>45614</v>
      </c>
      <c r="K153" s="153">
        <v>45596</v>
      </c>
      <c r="L153" s="278">
        <f t="array" ref="L153">MIN(IF(V153:CH153&gt;0,$V$16:$CH$16))</f>
        <v>45629</v>
      </c>
      <c r="M153" s="277">
        <f t="array" ref="M153">MAX(IF(V153:CH153&gt;0,$V$16:$CH$16))</f>
        <v>45629</v>
      </c>
      <c r="N153" s="275">
        <f>VLOOKUP(H153,Auxiliar!$B$16:$E$24,4,0)</f>
        <v>0.25</v>
      </c>
      <c r="O153" s="275">
        <f t="shared" ca="1" si="32"/>
        <v>0</v>
      </c>
      <c r="P153" s="274">
        <f t="shared" ca="1" si="34"/>
        <v>0.25</v>
      </c>
      <c r="Q153" s="274"/>
      <c r="R153" s="229"/>
      <c r="S153" s="223">
        <v>4.0999999999999996</v>
      </c>
      <c r="T153" s="223">
        <f t="shared" ref="T153:T160" si="36">ROUND(S153/8,1)</f>
        <v>0.5</v>
      </c>
      <c r="U153" s="223">
        <f t="shared" si="33"/>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outlineLevel="1">
      <c r="A154" s="30" t="str">
        <f t="shared" si="35"/>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8">
        <f t="array" ref="L154">MIN(IF(V154:CH154&gt;0,$V$16:$CH$16))</f>
        <v>45630</v>
      </c>
      <c r="M154" s="277">
        <f t="array" ref="M154">MAX(IF(V154:CH154&gt;0,$V$16:$CH$16))</f>
        <v>45630</v>
      </c>
      <c r="N154" s="275">
        <f>VLOOKUP(H154,Auxiliar!$B$16:$E$24,4,0)</f>
        <v>0</v>
      </c>
      <c r="O154" s="275">
        <f t="shared" ca="1" si="32"/>
        <v>0</v>
      </c>
      <c r="P154" s="274">
        <f t="shared" ca="1" si="34"/>
        <v>0</v>
      </c>
      <c r="Q154" s="274"/>
      <c r="R154" s="229"/>
      <c r="S154" s="223">
        <v>4.0999999999999996</v>
      </c>
      <c r="T154" s="223">
        <f t="shared" si="36"/>
        <v>0.5</v>
      </c>
      <c r="U154" s="223">
        <f t="shared" si="33"/>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outlineLevel="1">
      <c r="A155" s="30" t="str">
        <f t="shared" si="35"/>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8">
        <f t="array" ref="L155">MIN(IF(V155:CH155&gt;0,$V$16:$CH$16))</f>
        <v>45630</v>
      </c>
      <c r="M155" s="277">
        <f t="array" ref="M155">MAX(IF(V155:CH155&gt;0,$V$16:$CH$16))</f>
        <v>45630</v>
      </c>
      <c r="N155" s="275">
        <f>VLOOKUP(H155,Auxiliar!$B$16:$E$24,4,0)</f>
        <v>0</v>
      </c>
      <c r="O155" s="275">
        <f t="shared" ca="1" si="32"/>
        <v>0</v>
      </c>
      <c r="P155" s="274">
        <f t="shared" ca="1" si="34"/>
        <v>0</v>
      </c>
      <c r="Q155" s="274"/>
      <c r="R155" s="229"/>
      <c r="S155" s="223">
        <v>4.0999999999999996</v>
      </c>
      <c r="T155" s="223">
        <f t="shared" si="36"/>
        <v>0.5</v>
      </c>
      <c r="U155" s="223">
        <f t="shared" si="33"/>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outlineLevel="1">
      <c r="A156" s="30" t="str">
        <f t="shared" si="35"/>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8">
        <f t="array" ref="L156">MIN(IF(V156:CH156&gt;0,$V$16:$CH$16))</f>
        <v>45600</v>
      </c>
      <c r="M156" s="277">
        <f t="array" ref="M156">MAX(IF(V156:CH156&gt;0,$V$16:$CH$16))</f>
        <v>45600</v>
      </c>
      <c r="N156" s="275">
        <f>VLOOKUP(H156,Auxiliar!$B$16:$E$24,4,0)</f>
        <v>1</v>
      </c>
      <c r="O156" s="275">
        <f t="shared" ca="1" si="32"/>
        <v>1</v>
      </c>
      <c r="P156" s="274">
        <f t="shared" ca="1" si="34"/>
        <v>0</v>
      </c>
      <c r="Q156" s="274"/>
      <c r="R156" s="229" t="s">
        <v>1305</v>
      </c>
      <c r="S156" s="223">
        <v>4.0999999999999996</v>
      </c>
      <c r="T156" s="223">
        <f t="shared" si="36"/>
        <v>0.5</v>
      </c>
      <c r="U156" s="223">
        <f t="shared" si="33"/>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outlineLevel="1">
      <c r="A157" s="30" t="str">
        <f t="shared" si="35"/>
        <v>lt003_entityflg_grp_nfrd_applcblty</v>
      </c>
      <c r="B157" s="142" t="s">
        <v>26</v>
      </c>
      <c r="C157" s="138" t="s">
        <v>26</v>
      </c>
      <c r="D157" s="252" t="s">
        <v>40</v>
      </c>
      <c r="E157" s="256" t="s">
        <v>336</v>
      </c>
      <c r="F157" s="256"/>
      <c r="G157" s="256" t="s">
        <v>365</v>
      </c>
      <c r="H157" s="254" t="str">
        <f>VLOOKUP(A157,'2. Status Detalhe Campos'!$A$7:$G$574,7,0)</f>
        <v>2.1 Em Teste</v>
      </c>
      <c r="I157" s="153">
        <v>45588</v>
      </c>
      <c r="J157" s="234">
        <v>45596</v>
      </c>
      <c r="K157" s="153">
        <v>45596</v>
      </c>
      <c r="L157" s="278">
        <f t="array" ref="L157">MIN(IF(V157:CH157&gt;0,$V$16:$CH$16))</f>
        <v>45632</v>
      </c>
      <c r="M157" s="277">
        <f t="array" ref="M157">MAX(IF(V157:CH157&gt;0,$V$16:$CH$16))</f>
        <v>45632</v>
      </c>
      <c r="N157" s="275">
        <f>VLOOKUP(H157,Auxiliar!$B$16:$E$24,4,0)</f>
        <v>0.25</v>
      </c>
      <c r="O157" s="275">
        <f t="shared" ca="1" si="32"/>
        <v>0</v>
      </c>
      <c r="P157" s="274">
        <f t="shared" ca="1" si="34"/>
        <v>0.25</v>
      </c>
      <c r="Q157" s="274"/>
      <c r="R157" s="229"/>
      <c r="S157" s="223">
        <v>4.0999999999999996</v>
      </c>
      <c r="T157" s="223">
        <f t="shared" si="36"/>
        <v>0.5</v>
      </c>
      <c r="U157" s="223">
        <f t="shared" si="33"/>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outlineLevel="1">
      <c r="A158" s="30" t="str">
        <f t="shared" si="35"/>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8">
        <f t="array" ref="L158">MIN(IF(V158:CH158&gt;0,$V$16:$CH$16))</f>
        <v>45632</v>
      </c>
      <c r="M158" s="277">
        <f t="array" ref="M158">MAX(IF(V158:CH158&gt;0,$V$16:$CH$16))</f>
        <v>45632</v>
      </c>
      <c r="N158" s="275">
        <f>VLOOKUP(H158,Auxiliar!$B$16:$E$24,4,0)</f>
        <v>0</v>
      </c>
      <c r="O158" s="275">
        <f t="shared" ca="1" si="32"/>
        <v>0</v>
      </c>
      <c r="P158" s="274">
        <f t="shared" ca="1" si="34"/>
        <v>0</v>
      </c>
      <c r="Q158" s="274"/>
      <c r="R158" s="229"/>
      <c r="S158" s="223">
        <v>4.0999999999999996</v>
      </c>
      <c r="T158" s="223">
        <f t="shared" si="36"/>
        <v>0.5</v>
      </c>
      <c r="U158" s="223">
        <f t="shared" si="33"/>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outlineLevel="1">
      <c r="A159" s="30" t="str">
        <f t="shared" si="35"/>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8">
        <f t="array" ref="L159">MIN(IF(V159:CH159&gt;0,$V$16:$CH$16))</f>
        <v>45635</v>
      </c>
      <c r="M159" s="277">
        <f t="array" ref="M159">MAX(IF(V159:CH159&gt;0,$V$16:$CH$16))</f>
        <v>45635</v>
      </c>
      <c r="N159" s="275">
        <f>VLOOKUP(H159,Auxiliar!$B$16:$E$24,4,0)</f>
        <v>0</v>
      </c>
      <c r="O159" s="275">
        <f t="shared" ca="1" si="32"/>
        <v>0</v>
      </c>
      <c r="P159" s="274">
        <f t="shared" ca="1" si="34"/>
        <v>0</v>
      </c>
      <c r="Q159" s="274"/>
      <c r="R159" s="229"/>
      <c r="S159" s="223">
        <v>4.0999999999999996</v>
      </c>
      <c r="T159" s="223">
        <f t="shared" si="36"/>
        <v>0.5</v>
      </c>
      <c r="U159" s="223">
        <f t="shared" si="33"/>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outlineLevel="1">
      <c r="A160" s="30" t="str">
        <f t="shared" si="35"/>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8">
        <f t="array" ref="L160">MIN(IF(V160:CH160&gt;0,$V$16:$CH$16))</f>
        <v>45635</v>
      </c>
      <c r="M160" s="277">
        <f t="array" ref="M160">MAX(IF(V160:CH160&gt;0,$V$16:$CH$16))</f>
        <v>45635</v>
      </c>
      <c r="N160" s="275">
        <f>VLOOKUP(H160,Auxiliar!$B$16:$E$24,4,0)</f>
        <v>0</v>
      </c>
      <c r="O160" s="275">
        <f t="shared" ca="1" si="32"/>
        <v>0</v>
      </c>
      <c r="P160" s="274">
        <f t="shared" ca="1" si="34"/>
        <v>0</v>
      </c>
      <c r="Q160" s="274"/>
      <c r="R160" s="229"/>
      <c r="S160" s="223">
        <v>4.0999999999999996</v>
      </c>
      <c r="T160" s="223">
        <f t="shared" si="36"/>
        <v>0.5</v>
      </c>
      <c r="U160" s="223">
        <f t="shared" si="33"/>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 r="A161" s="30"/>
      <c r="B161" s="142" t="s">
        <v>26</v>
      </c>
      <c r="C161" s="138" t="s">
        <v>26</v>
      </c>
      <c r="D161" s="134"/>
      <c r="E161" s="262" t="s">
        <v>336</v>
      </c>
      <c r="F161" s="259" t="s">
        <v>2002</v>
      </c>
      <c r="G161" s="260">
        <f>COUNTA(G162:G166)</f>
        <v>5</v>
      </c>
      <c r="H161" s="136"/>
      <c r="I161" s="258">
        <f>MAX(I162:I166)</f>
        <v>45590</v>
      </c>
      <c r="J161" s="257">
        <f>MIN(J162:J166)</f>
        <v>45611</v>
      </c>
      <c r="K161" s="257">
        <f>MIN(K162:K166)</f>
        <v>45611</v>
      </c>
      <c r="L161" s="257">
        <f>MIN(L162:L166)</f>
        <v>45614</v>
      </c>
      <c r="M161" s="258">
        <f>MAX(M162:M166)</f>
        <v>45632</v>
      </c>
      <c r="N161" s="279">
        <f>SUMPRODUCT(N162:N166,T162:T166)/SUM(T162:T166)</f>
        <v>0.25</v>
      </c>
      <c r="O161" s="279">
        <f ca="1">SUMPRODUCT(O162:O166,T162:T166)/SUM(T162:T166)</f>
        <v>0.4</v>
      </c>
      <c r="P161" s="343">
        <f t="shared" ca="1" si="34"/>
        <v>-0.15000000000000002</v>
      </c>
      <c r="Q161" s="283" t="s">
        <v>2035</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26"/>
      <c r="AN161" s="79"/>
      <c r="AO161" s="79"/>
      <c r="AP161" s="79"/>
      <c r="AQ161" s="79"/>
      <c r="AR161" s="79"/>
      <c r="AS161" s="79"/>
      <c r="AT161" s="79"/>
      <c r="AU161" s="79"/>
      <c r="AV161" s="79"/>
      <c r="AW161" s="79"/>
      <c r="AX161" s="79"/>
      <c r="AY161" s="79"/>
      <c r="AZ161" s="79"/>
      <c r="BA161" s="79"/>
      <c r="BB161" s="264"/>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outlineLevel="1">
      <c r="A162" s="30" t="str">
        <f t="shared" si="21"/>
        <v>lt003_entityflg_nfrd_applcblty</v>
      </c>
      <c r="B162" s="142" t="s">
        <v>26</v>
      </c>
      <c r="C162" s="138" t="s">
        <v>26</v>
      </c>
      <c r="D162" s="252" t="s">
        <v>40</v>
      </c>
      <c r="E162" s="256" t="s">
        <v>336</v>
      </c>
      <c r="F162" s="256"/>
      <c r="G162" s="256" t="s">
        <v>353</v>
      </c>
      <c r="H162" s="254" t="str">
        <f>VLOOKUP(A162,'2. Status Detalhe Campos'!$A$7:$G$574,7,0)</f>
        <v>2.1 Em Teste</v>
      </c>
      <c r="I162" s="228">
        <v>45589</v>
      </c>
      <c r="J162" s="235">
        <v>45611</v>
      </c>
      <c r="K162" s="340">
        <v>45611</v>
      </c>
      <c r="L162" s="278">
        <f t="array" ref="L162">MIN(IF(V162:CH162&gt;0,$V$16:$CH$16))</f>
        <v>45624</v>
      </c>
      <c r="M162" s="277">
        <f t="array" ref="M162">MAX(IF(V162:CH162&gt;0,$V$16:$CH$16))</f>
        <v>45624</v>
      </c>
      <c r="N162" s="275">
        <f>VLOOKUP(H162,Auxiliar!$B$16:$E$24,4,0)</f>
        <v>0.25</v>
      </c>
      <c r="O162" s="275">
        <f t="shared" ref="O162:O166" ca="1" si="37">IF(TODAY()&lt;=L162,0,MIN((TODAY()-L162)/(M162-L162+1),100%))</f>
        <v>0</v>
      </c>
      <c r="P162" s="274">
        <f t="shared" ca="1" si="34"/>
        <v>0.25</v>
      </c>
      <c r="Q162" s="283" t="s">
        <v>38</v>
      </c>
      <c r="R162" s="229"/>
      <c r="S162" s="223">
        <v>4.0999999999999996</v>
      </c>
      <c r="T162" s="223">
        <f t="shared" si="22"/>
        <v>0.5</v>
      </c>
      <c r="U162" s="223">
        <f>SUM(V162:CH162)-T162</f>
        <v>0</v>
      </c>
      <c r="V162" s="79"/>
      <c r="W162" s="79"/>
      <c r="X162" s="79"/>
      <c r="Y162" s="79"/>
      <c r="Z162" s="79"/>
      <c r="AA162" s="79"/>
      <c r="AB162" s="79"/>
      <c r="AC162" s="92"/>
      <c r="AD162" s="79"/>
      <c r="AE162" s="79"/>
      <c r="AF162" s="79"/>
      <c r="AG162" s="79"/>
      <c r="AH162" s="79"/>
      <c r="AI162" s="79"/>
      <c r="AJ162" s="79"/>
      <c r="AK162" s="79"/>
      <c r="AL162" s="79"/>
      <c r="AM162" s="226"/>
      <c r="AN162" s="29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outlineLevel="1">
      <c r="A163" s="30" t="str">
        <f>E163&amp;G163</f>
        <v>lt003_entitypure_capex_cca</v>
      </c>
      <c r="B163" s="142" t="s">
        <v>26</v>
      </c>
      <c r="C163" s="138" t="s">
        <v>26</v>
      </c>
      <c r="D163" s="252" t="s">
        <v>40</v>
      </c>
      <c r="E163" s="256" t="s">
        <v>336</v>
      </c>
      <c r="F163" s="256"/>
      <c r="G163" s="256" t="s">
        <v>347</v>
      </c>
      <c r="H163" s="254" t="str">
        <f>VLOOKUP(A163,'2. Status Detalhe Campos'!$A$7:$G$574,7,0)</f>
        <v>2.1 Em Teste</v>
      </c>
      <c r="I163" s="228" t="s">
        <v>38</v>
      </c>
      <c r="J163" s="234">
        <v>45611</v>
      </c>
      <c r="K163" s="340">
        <v>45611</v>
      </c>
      <c r="L163" s="278">
        <f t="array" ref="L163">MIN(IF(V163:CH163&gt;0,$V$16:$CH$16))</f>
        <v>45623</v>
      </c>
      <c r="M163" s="277">
        <f t="array" ref="M163">MAX(IF(V163:CH163&gt;0,$V$16:$CH$16))</f>
        <v>45623</v>
      </c>
      <c r="N163" s="275">
        <f>VLOOKUP(H163,Auxiliar!$B$16:$E$24,4,0)</f>
        <v>0.25</v>
      </c>
      <c r="O163" s="275">
        <f t="shared" ca="1" si="37"/>
        <v>0</v>
      </c>
      <c r="P163" s="274">
        <f t="shared" ca="1" si="34"/>
        <v>0.25</v>
      </c>
      <c r="Q163" s="283"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26"/>
      <c r="AN163" s="29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outlineLevel="1">
      <c r="A164" s="30" t="str">
        <f>E164&amp;G164</f>
        <v>lt003_entityesg_sbsctr</v>
      </c>
      <c r="B164" s="142" t="s">
        <v>26</v>
      </c>
      <c r="C164" s="138" t="s">
        <v>26</v>
      </c>
      <c r="D164" s="252" t="s">
        <v>40</v>
      </c>
      <c r="E164" s="256" t="s">
        <v>336</v>
      </c>
      <c r="F164" s="256"/>
      <c r="G164" s="256" t="s">
        <v>361</v>
      </c>
      <c r="H164" s="254" t="str">
        <f>VLOOKUP(A164,'2. Status Detalhe Campos'!$A$7:$G$574,7,0)</f>
        <v>2.1 Em Teste</v>
      </c>
      <c r="I164" s="228">
        <v>45583</v>
      </c>
      <c r="J164" s="235">
        <v>45611</v>
      </c>
      <c r="K164" s="340">
        <v>45611</v>
      </c>
      <c r="L164" s="278">
        <f t="array" ref="L164">MIN(IF(V164:CH164&gt;0,$V$16:$CH$16))</f>
        <v>45632</v>
      </c>
      <c r="M164" s="277">
        <f t="array" ref="M164">MAX(IF(V164:CH164&gt;0,$V$16:$CH$16))</f>
        <v>45632</v>
      </c>
      <c r="N164" s="275">
        <f>VLOOKUP(H164,Auxiliar!$B$16:$E$24,4,0)</f>
        <v>0.25</v>
      </c>
      <c r="O164" s="275">
        <f t="shared" ca="1" si="37"/>
        <v>0</v>
      </c>
      <c r="P164" s="274">
        <f t="shared" ca="1" si="34"/>
        <v>0.25</v>
      </c>
      <c r="Q164" s="283"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26"/>
      <c r="AN164" s="79"/>
      <c r="AO164" s="79"/>
      <c r="AP164" s="79"/>
      <c r="AQ164" s="79"/>
      <c r="AR164" s="79"/>
      <c r="AS164" s="79"/>
      <c r="AT164" s="79"/>
      <c r="AU164" s="79"/>
      <c r="AV164" s="79"/>
      <c r="AW164" s="79"/>
      <c r="AX164" s="79"/>
      <c r="AY164" s="79"/>
      <c r="AZ164" s="79"/>
      <c r="BA164" s="79"/>
      <c r="BB164" s="79">
        <v>0.5</v>
      </c>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outlineLevel="1">
      <c r="A165" s="30" t="str">
        <f>E165&amp;G165</f>
        <v>lt003_entitygrp_annl_trnvr_le</v>
      </c>
      <c r="B165" s="142" t="s">
        <v>26</v>
      </c>
      <c r="C165" s="138" t="s">
        <v>26</v>
      </c>
      <c r="D165" s="252" t="s">
        <v>40</v>
      </c>
      <c r="E165" s="256" t="s">
        <v>336</v>
      </c>
      <c r="F165" s="256"/>
      <c r="G165" s="256" t="s">
        <v>363</v>
      </c>
      <c r="H165" s="254" t="str">
        <f>VLOOKUP(A165,'2. Status Detalhe Campos'!$A$7:$G$574,7,0)</f>
        <v>2.1 Em Teste</v>
      </c>
      <c r="I165" s="153">
        <v>45590</v>
      </c>
      <c r="J165" s="235">
        <v>45611</v>
      </c>
      <c r="K165" s="340">
        <v>45611</v>
      </c>
      <c r="L165" s="278">
        <f t="array" ref="L165">MIN(IF(V165:CH165&gt;0,$V$16:$CH$16))</f>
        <v>45614</v>
      </c>
      <c r="M165" s="277">
        <f t="array" ref="M165">MAX(IF(V165:CH165&gt;0,$V$16:$CH$16))</f>
        <v>45614</v>
      </c>
      <c r="N165" s="275">
        <f>VLOOKUP(H165,Auxiliar!$B$16:$E$24,4,0)</f>
        <v>0.25</v>
      </c>
      <c r="O165" s="275">
        <f t="shared" ca="1" si="37"/>
        <v>1</v>
      </c>
      <c r="P165" s="274">
        <f t="shared" ca="1" si="34"/>
        <v>-0.75</v>
      </c>
      <c r="Q165" s="283"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26"/>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outlineLevel="1">
      <c r="A166" s="30" t="str">
        <f>E166&amp;G166</f>
        <v>lt003_entitygrp_ttl_lblty</v>
      </c>
      <c r="B166" s="142" t="s">
        <v>26</v>
      </c>
      <c r="C166" s="138" t="s">
        <v>26</v>
      </c>
      <c r="D166" s="252" t="s">
        <v>40</v>
      </c>
      <c r="E166" s="256" t="s">
        <v>336</v>
      </c>
      <c r="F166" s="256"/>
      <c r="G166" s="256" t="s">
        <v>364</v>
      </c>
      <c r="H166" s="254" t="str">
        <f>VLOOKUP(A166,'2. Status Detalhe Campos'!$A$7:$G$574,7,0)</f>
        <v>2.1 Em Teste</v>
      </c>
      <c r="I166" s="153">
        <v>45590</v>
      </c>
      <c r="J166" s="235">
        <v>45611</v>
      </c>
      <c r="K166" s="340">
        <v>45611</v>
      </c>
      <c r="L166" s="278">
        <f t="array" ref="L166">MIN(IF(V166:CH166&gt;0,$V$16:$CH$16))</f>
        <v>45614</v>
      </c>
      <c r="M166" s="277">
        <f t="array" ref="M166">MAX(IF(V166:CH166&gt;0,$V$16:$CH$16))</f>
        <v>45614</v>
      </c>
      <c r="N166" s="275">
        <f>VLOOKUP(H166,Auxiliar!$B$16:$E$24,4,0)</f>
        <v>0.25</v>
      </c>
      <c r="O166" s="275">
        <f t="shared" ca="1" si="37"/>
        <v>1</v>
      </c>
      <c r="P166" s="274">
        <f t="shared" ca="1" si="34"/>
        <v>-0.75</v>
      </c>
      <c r="Q166" s="283"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26"/>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 r="A167" s="30"/>
      <c r="B167" s="142" t="s">
        <v>26</v>
      </c>
      <c r="C167" s="138" t="s">
        <v>26</v>
      </c>
      <c r="D167" s="134"/>
      <c r="E167" s="262" t="s">
        <v>336</v>
      </c>
      <c r="F167" s="259" t="s">
        <v>2003</v>
      </c>
      <c r="G167" s="260">
        <f>COUNTA(G168:G170)</f>
        <v>3</v>
      </c>
      <c r="H167" s="136"/>
      <c r="I167" s="258" t="s">
        <v>38</v>
      </c>
      <c r="J167" s="257">
        <f>MIN(J168:J170)</f>
        <v>45621</v>
      </c>
      <c r="K167" s="258">
        <f>MIN(K168:K170)</f>
        <v>45596</v>
      </c>
      <c r="L167" s="257">
        <f>MIN(L168:L170)</f>
        <v>45625</v>
      </c>
      <c r="M167" s="258">
        <f>MAX(M168:M170)</f>
        <v>45629</v>
      </c>
      <c r="N167" s="279">
        <f>SUMPRODUCT(N168:N170,T168:T170)/SUM(T168:T170)</f>
        <v>0.25</v>
      </c>
      <c r="O167" s="279">
        <f ca="1">SUMPRODUCT(O168:O170,T168:T170)/SUM(T168:T170)</f>
        <v>0</v>
      </c>
      <c r="P167" s="274">
        <f t="shared" ca="1" si="34"/>
        <v>0.25</v>
      </c>
      <c r="Q167" s="283" t="s">
        <v>38</v>
      </c>
      <c r="R167" s="229"/>
      <c r="S167" s="223"/>
      <c r="T167" s="223"/>
      <c r="U167" s="223"/>
      <c r="V167" s="79"/>
      <c r="W167" s="236"/>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4"/>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outlineLevel="1">
      <c r="A168" s="30" t="str">
        <f t="shared" si="21"/>
        <v>lt003_entitycntrprty_emssns_scp1</v>
      </c>
      <c r="B168" s="142" t="s">
        <v>26</v>
      </c>
      <c r="C168" s="138" t="s">
        <v>26</v>
      </c>
      <c r="D168" s="252" t="s">
        <v>40</v>
      </c>
      <c r="E168" s="256" t="s">
        <v>336</v>
      </c>
      <c r="F168" s="256"/>
      <c r="G168" s="256" t="s">
        <v>354</v>
      </c>
      <c r="H168" s="254" t="str">
        <f>VLOOKUP(A168,'2. Status Detalhe Campos'!$A$7:$G$574,7,0)</f>
        <v>2.1 Em Teste</v>
      </c>
      <c r="I168" s="228" t="s">
        <v>38</v>
      </c>
      <c r="J168" s="153">
        <v>45621</v>
      </c>
      <c r="K168" s="153">
        <v>45596</v>
      </c>
      <c r="L168" s="278">
        <f t="array" ref="L168">MIN(IF(V168:CH168&gt;0,$V$16:$CH$16))</f>
        <v>45625</v>
      </c>
      <c r="M168" s="277">
        <f t="array" ref="M168">MAX(IF(V168:CH168&gt;0,$V$16:$CH$16))</f>
        <v>45625</v>
      </c>
      <c r="N168" s="275">
        <f>VLOOKUP(H168,Auxiliar!$B$16:$E$24,4,0)</f>
        <v>0.25</v>
      </c>
      <c r="O168" s="275">
        <f t="shared" ref="O168:O170" ca="1" si="38">IF(TODAY()&lt;=L168,0,MIN((TODAY()-L168)/(M168-L168+1),100%))</f>
        <v>0</v>
      </c>
      <c r="P168" s="274">
        <f t="shared" ca="1" si="34"/>
        <v>0.25</v>
      </c>
      <c r="Q168" s="283" t="s">
        <v>38</v>
      </c>
      <c r="R168" s="229"/>
      <c r="S168" s="223">
        <v>4.0999999999999996</v>
      </c>
      <c r="T168" s="223">
        <f t="shared" si="22"/>
        <v>0.5</v>
      </c>
      <c r="U168" s="223">
        <f>SUM(V168:CH168)-T168</f>
        <v>0</v>
      </c>
      <c r="V168" s="79"/>
      <c r="W168" s="236"/>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79"/>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outlineLevel="1">
      <c r="A169" s="30" t="str">
        <f t="shared" ref="A169:A172" si="39">E169&amp;G169</f>
        <v>lt003_entitycntrprty_emssns_scp2</v>
      </c>
      <c r="B169" s="142" t="s">
        <v>26</v>
      </c>
      <c r="C169" s="138" t="s">
        <v>26</v>
      </c>
      <c r="D169" s="252" t="s">
        <v>40</v>
      </c>
      <c r="E169" s="256" t="s">
        <v>336</v>
      </c>
      <c r="F169" s="256"/>
      <c r="G169" s="256" t="s">
        <v>355</v>
      </c>
      <c r="H169" s="254" t="str">
        <f>VLOOKUP(A169,'2. Status Detalhe Campos'!$A$7:$G$574,7,0)</f>
        <v>2.1 Em Teste</v>
      </c>
      <c r="I169" s="228" t="s">
        <v>38</v>
      </c>
      <c r="J169" s="153">
        <v>45621</v>
      </c>
      <c r="K169" s="153">
        <v>45596</v>
      </c>
      <c r="L169" s="278">
        <f t="array" ref="L169">MIN(IF(V169:CH169&gt;0,$V$16:$CH$16))</f>
        <v>45625</v>
      </c>
      <c r="M169" s="277">
        <f t="array" ref="M169">MAX(IF(V169:CH169&gt;0,$V$16:$CH$16))</f>
        <v>45625</v>
      </c>
      <c r="N169" s="275">
        <f>VLOOKUP(H169,Auxiliar!$B$16:$E$24,4,0)</f>
        <v>0.25</v>
      </c>
      <c r="O169" s="275">
        <f t="shared" ca="1" si="38"/>
        <v>0</v>
      </c>
      <c r="P169" s="274">
        <f t="shared" ca="1" si="34"/>
        <v>0.25</v>
      </c>
      <c r="Q169" s="283" t="s">
        <v>38</v>
      </c>
      <c r="R169" s="229"/>
      <c r="S169" s="223">
        <v>4.0999999999999996</v>
      </c>
      <c r="T169" s="223">
        <f t="shared" si="22"/>
        <v>0.5</v>
      </c>
      <c r="U169" s="223">
        <f>SUM(V169:CH169)-T169</f>
        <v>0</v>
      </c>
      <c r="V169" s="79"/>
      <c r="W169" s="236"/>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79"/>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outlineLevel="1">
      <c r="A170" s="30" t="str">
        <f t="shared" si="39"/>
        <v>lt003_entitycntrprty_emssns_scp3</v>
      </c>
      <c r="B170" s="142" t="s">
        <v>26</v>
      </c>
      <c r="C170" s="138" t="s">
        <v>26</v>
      </c>
      <c r="D170" s="252" t="s">
        <v>40</v>
      </c>
      <c r="E170" s="256" t="s">
        <v>336</v>
      </c>
      <c r="F170" s="256"/>
      <c r="G170" s="256" t="s">
        <v>356</v>
      </c>
      <c r="H170" s="254" t="str">
        <f>VLOOKUP(A170,'2. Status Detalhe Campos'!$A$7:$G$574,7,0)</f>
        <v>2.1 Em Teste</v>
      </c>
      <c r="I170" s="228" t="s">
        <v>38</v>
      </c>
      <c r="J170" s="153">
        <v>45621</v>
      </c>
      <c r="K170" s="153">
        <v>45596</v>
      </c>
      <c r="L170" s="278">
        <f t="array" ref="L170">MIN(IF(V170:CH170&gt;0,$V$16:$CH$16))</f>
        <v>45629</v>
      </c>
      <c r="M170" s="277">
        <f t="array" ref="M170">MAX(IF(V170:CH170&gt;0,$V$16:$CH$16))</f>
        <v>45629</v>
      </c>
      <c r="N170" s="275">
        <f>VLOOKUP(H170,Auxiliar!$B$16:$E$24,4,0)</f>
        <v>0.25</v>
      </c>
      <c r="O170" s="275">
        <f t="shared" ca="1" si="38"/>
        <v>0</v>
      </c>
      <c r="P170" s="274">
        <f t="shared" ca="1" si="34"/>
        <v>0.25</v>
      </c>
      <c r="Q170" s="283" t="s">
        <v>38</v>
      </c>
      <c r="R170" s="229"/>
      <c r="S170" s="223">
        <v>4.0999999999999996</v>
      </c>
      <c r="T170" s="223">
        <f t="shared" ref="T170:T239" si="40">ROUND(S170/8,1)</f>
        <v>0.5</v>
      </c>
      <c r="U170" s="223">
        <f>SUM(V170:CH170)-T170</f>
        <v>0</v>
      </c>
      <c r="V170" s="79"/>
      <c r="W170" s="236"/>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 r="A171" s="30"/>
      <c r="B171" s="142" t="s">
        <v>26</v>
      </c>
      <c r="C171" s="138" t="s">
        <v>26</v>
      </c>
      <c r="D171" s="134"/>
      <c r="E171" s="262" t="s">
        <v>336</v>
      </c>
      <c r="F171" s="259" t="s">
        <v>2004</v>
      </c>
      <c r="G171" s="260">
        <f>COUNTA(G172)</f>
        <v>1</v>
      </c>
      <c r="H171" s="136"/>
      <c r="I171" s="258">
        <f>MAX(I172)</f>
        <v>45590</v>
      </c>
      <c r="J171" s="257">
        <f>MIN(J172)</f>
        <v>45624</v>
      </c>
      <c r="K171" s="228"/>
      <c r="L171" s="257">
        <f>MIN(L172)</f>
        <v>45631</v>
      </c>
      <c r="M171" s="258">
        <f>MAX(M172)</f>
        <v>45631</v>
      </c>
      <c r="N171" s="279">
        <f>N172</f>
        <v>0</v>
      </c>
      <c r="O171" s="279">
        <f ca="1">O172</f>
        <v>0</v>
      </c>
      <c r="P171" s="274">
        <f t="shared" ca="1" si="34"/>
        <v>0</v>
      </c>
      <c r="Q171" s="283"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4"/>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outlineLevel="1">
      <c r="A172" s="30" t="str">
        <f t="shared" si="39"/>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8">
        <f t="array" ref="L172">MIN(IF(V172:CH172&gt;0,$V$16:$CH$16))</f>
        <v>45631</v>
      </c>
      <c r="M172" s="277">
        <f t="array" ref="M172">MAX(IF(V172:CH172&gt;0,$V$16:$CH$16))</f>
        <v>45631</v>
      </c>
      <c r="N172" s="275">
        <f>VLOOKUP(H172,Auxiliar!$B$16:$E$24,4,0)</f>
        <v>0</v>
      </c>
      <c r="O172" s="275">
        <f t="shared" ref="O172" ca="1" si="41">IF(TODAY()&lt;=L172,0,MIN((TODAY()-L172)/(M172-L172+1),100%))</f>
        <v>0</v>
      </c>
      <c r="P172" s="274">
        <f t="shared" ca="1" si="34"/>
        <v>0</v>
      </c>
      <c r="Q172" s="283" t="s">
        <v>38</v>
      </c>
      <c r="R172" s="229"/>
      <c r="S172" s="223">
        <v>4.0999999999999996</v>
      </c>
      <c r="T172" s="223">
        <f t="shared" si="40"/>
        <v>0.5</v>
      </c>
      <c r="U172" s="223">
        <f>SUM(V172:CH172)-T172</f>
        <v>0</v>
      </c>
      <c r="V172" s="79"/>
      <c r="W172" s="236"/>
      <c r="X172" s="291"/>
      <c r="Y172" s="236"/>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 r="A173" s="30"/>
      <c r="B173" s="142" t="s">
        <v>26</v>
      </c>
      <c r="C173" s="138" t="s">
        <v>26</v>
      </c>
      <c r="D173" s="134"/>
      <c r="E173" s="262" t="s">
        <v>336</v>
      </c>
      <c r="F173" s="259" t="s">
        <v>2014</v>
      </c>
      <c r="G173" s="260">
        <f>COUNTA(G174)</f>
        <v>1</v>
      </c>
      <c r="H173" s="136"/>
      <c r="I173" s="330">
        <f>MAX(I174)</f>
        <v>45603</v>
      </c>
      <c r="J173" s="237"/>
      <c r="K173" s="238"/>
      <c r="L173" s="257">
        <f>MIN(L174)</f>
        <v>45663</v>
      </c>
      <c r="M173" s="258">
        <f>MAX(M174)</f>
        <v>45663</v>
      </c>
      <c r="N173" s="279">
        <f>N174</f>
        <v>0.25</v>
      </c>
      <c r="O173" s="279">
        <f ca="1">O174</f>
        <v>0</v>
      </c>
      <c r="P173" s="274">
        <f t="shared" ca="1" si="34"/>
        <v>0.25</v>
      </c>
      <c r="Q173" s="283" t="s">
        <v>2017</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4"/>
      <c r="BY173" s="79"/>
      <c r="BZ173" s="79"/>
      <c r="CA173" s="79"/>
      <c r="CB173" s="79"/>
      <c r="CC173" s="79"/>
      <c r="CD173" s="79"/>
      <c r="CE173" s="79"/>
      <c r="CF173" s="79"/>
      <c r="CG173" s="79"/>
      <c r="CH173" s="79"/>
    </row>
    <row r="174" spans="1:86" ht="16.2" outlineLevel="1">
      <c r="A174" s="30" t="str">
        <f>E174&amp;G174</f>
        <v>lt003_entityisin</v>
      </c>
      <c r="B174" s="142" t="s">
        <v>26</v>
      </c>
      <c r="C174" s="138" t="s">
        <v>26</v>
      </c>
      <c r="D174" s="252" t="s">
        <v>40</v>
      </c>
      <c r="E174" s="256" t="s">
        <v>336</v>
      </c>
      <c r="F174" s="256"/>
      <c r="G174" s="256" t="s">
        <v>239</v>
      </c>
      <c r="H174" s="254" t="str">
        <f>VLOOKUP(A174,'2. Status Detalhe Campos'!$A$7:$G$574,7,0)</f>
        <v>2.1 Em Teste</v>
      </c>
      <c r="I174" s="239">
        <v>45603</v>
      </c>
      <c r="J174" s="257">
        <v>45611</v>
      </c>
      <c r="K174" s="257">
        <v>45611</v>
      </c>
      <c r="L174" s="278">
        <f t="array" ref="L174">MIN(IF(V174:CH174&gt;0,$V$16:$CH$16))</f>
        <v>45663</v>
      </c>
      <c r="M174" s="277">
        <f t="array" ref="M174">MAX(IF(V174:CH174&gt;0,$V$16:$CH$16))</f>
        <v>45663</v>
      </c>
      <c r="N174" s="275">
        <f>VLOOKUP(H174,Auxiliar!$B$16:$E$24,4,0)</f>
        <v>0.25</v>
      </c>
      <c r="O174" s="275">
        <f t="shared" ref="O174" ca="1" si="42">IF(TODAY()&lt;=L174,0,MIN((TODAY()-L174)/(M174-L174+1),100%))</f>
        <v>0</v>
      </c>
      <c r="P174" s="274">
        <f t="shared" ca="1" si="34"/>
        <v>0.25</v>
      </c>
      <c r="Q174" s="274"/>
      <c r="R174" s="229"/>
      <c r="S174" s="223">
        <v>4.0999999999999996</v>
      </c>
      <c r="T174" s="223">
        <f>ROUND(S174/8,1)</f>
        <v>0.5</v>
      </c>
      <c r="U174" s="223">
        <f>SUM(V174:CH174)-T174</f>
        <v>0</v>
      </c>
      <c r="V174" s="291"/>
      <c r="W174" s="236"/>
      <c r="X174" s="79"/>
      <c r="Y174" s="79"/>
      <c r="Z174" s="79"/>
      <c r="AA174" s="79"/>
      <c r="AB174" s="79"/>
      <c r="AC174" s="92"/>
      <c r="AD174" s="79"/>
      <c r="AE174" s="79"/>
      <c r="AF174" s="79"/>
      <c r="AG174" s="236"/>
      <c r="AH174" s="79"/>
      <c r="AI174" s="79"/>
      <c r="AJ174" s="79"/>
      <c r="AK174" s="79"/>
      <c r="AL174" s="79"/>
      <c r="AM174" s="226"/>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 r="A175" s="30"/>
      <c r="B175" s="142" t="s">
        <v>26</v>
      </c>
      <c r="C175" s="138" t="s">
        <v>26</v>
      </c>
      <c r="D175" s="134"/>
      <c r="E175" s="262" t="s">
        <v>369</v>
      </c>
      <c r="F175" s="259" t="s">
        <v>1981</v>
      </c>
      <c r="G175" s="260">
        <f>COUNTA(G176:G180)</f>
        <v>5</v>
      </c>
      <c r="H175" s="136"/>
      <c r="I175" s="258" t="s">
        <v>38</v>
      </c>
      <c r="J175" s="257">
        <f>MIN(J176:J180)</f>
        <v>45596</v>
      </c>
      <c r="K175" s="257">
        <f>MIN(K176:K180)</f>
        <v>45596</v>
      </c>
      <c r="L175" s="257">
        <f>MIN(L176:L180)</f>
        <v>45602</v>
      </c>
      <c r="M175" s="258">
        <f>MAX(M176:M180)</f>
        <v>45629</v>
      </c>
      <c r="N175" s="279">
        <f>SUMPRODUCT(N176:N180,T176:T180)/SUM(T176:T180)</f>
        <v>0.15</v>
      </c>
      <c r="O175" s="279">
        <f ca="1">SUMPRODUCT(O176:O180,T176:T180)/SUM(T176:T180)</f>
        <v>0.6</v>
      </c>
      <c r="P175" s="342">
        <f t="shared" ca="1" si="34"/>
        <v>-0.44999999999999996</v>
      </c>
      <c r="Q175" s="283" t="s">
        <v>2034</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v>0.5</v>
      </c>
      <c r="AS175" s="79"/>
      <c r="AT175" s="79"/>
      <c r="AU175" s="79"/>
      <c r="AV175" s="79"/>
      <c r="AW175" s="79"/>
      <c r="AX175" s="79"/>
      <c r="AY175" s="79"/>
      <c r="AZ175" s="79"/>
      <c r="BA175" s="79"/>
      <c r="BB175" s="264"/>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outlineLevel="1">
      <c r="A176" s="30" t="str">
        <f t="shared" ref="A176:A199" si="43">E176&amp;G176</f>
        <v>lt004_protectionep_scr</v>
      </c>
      <c r="B176" s="142" t="s">
        <v>26</v>
      </c>
      <c r="C176" s="138" t="s">
        <v>26</v>
      </c>
      <c r="D176" s="252" t="s">
        <v>40</v>
      </c>
      <c r="E176" s="256" t="s">
        <v>369</v>
      </c>
      <c r="F176" s="256"/>
      <c r="G176" s="265" t="s">
        <v>371</v>
      </c>
      <c r="H176" s="254" t="str">
        <f>VLOOKUP(A176,'2. Status Detalhe Campos'!$A$7:$G$574,7,0)</f>
        <v>2.1 Em Teste</v>
      </c>
      <c r="I176" s="228" t="s">
        <v>38</v>
      </c>
      <c r="J176" s="153">
        <v>45596</v>
      </c>
      <c r="K176" s="153">
        <v>45596</v>
      </c>
      <c r="L176" s="278">
        <f t="array" ref="L176">MIN(IF(V176:CH176&gt;0,$V$16:$CH$16))</f>
        <v>45602</v>
      </c>
      <c r="M176" s="277">
        <f t="array" ref="M176">MAX(IF(V176:CH176&gt;0,$V$16:$CH$16))</f>
        <v>45602</v>
      </c>
      <c r="N176" s="275">
        <f>VLOOKUP(H176,Auxiliar!$B$16:$E$24,4,0)</f>
        <v>0.25</v>
      </c>
      <c r="O176" s="275">
        <f t="shared" ref="O176:O180" ca="1" si="44">IF(TODAY()&lt;=L176,0,MIN((TODAY()-L176)/(M176-L176+1),100%))</f>
        <v>1</v>
      </c>
      <c r="P176" s="274">
        <f t="shared" ca="1" si="34"/>
        <v>-0.75</v>
      </c>
      <c r="Q176" s="274"/>
      <c r="R176" s="229" t="s">
        <v>1955</v>
      </c>
      <c r="S176" s="223">
        <v>4.0999999999999996</v>
      </c>
      <c r="T176" s="223">
        <f t="shared" si="40"/>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outlineLevel="1">
      <c r="A177" s="30" t="str">
        <f t="shared" si="43"/>
        <v>lt004_protectiontyp_epc_lbl</v>
      </c>
      <c r="B177" s="142" t="s">
        <v>26</v>
      </c>
      <c r="C177" s="138" t="s">
        <v>26</v>
      </c>
      <c r="D177" s="252" t="s">
        <v>40</v>
      </c>
      <c r="E177" s="256" t="s">
        <v>369</v>
      </c>
      <c r="F177" s="256"/>
      <c r="G177" s="265" t="s">
        <v>372</v>
      </c>
      <c r="H177" s="254" t="str">
        <f>VLOOKUP(A177,'2. Status Detalhe Campos'!$A$7:$G$574,7,0)</f>
        <v>2.1 Em Teste</v>
      </c>
      <c r="I177" s="228" t="s">
        <v>38</v>
      </c>
      <c r="J177" s="153">
        <v>45596</v>
      </c>
      <c r="K177" s="153">
        <v>45596</v>
      </c>
      <c r="L177" s="278">
        <f t="array" ref="L177">MIN(IF(V177:CH177&gt;0,$V$16:$CH$16))</f>
        <v>45602</v>
      </c>
      <c r="M177" s="277">
        <f t="array" ref="M177">MAX(IF(V177:CH177&gt;0,$V$16:$CH$16))</f>
        <v>45602</v>
      </c>
      <c r="N177" s="275">
        <f>VLOOKUP(H177,Auxiliar!$B$16:$E$24,4,0)</f>
        <v>0.25</v>
      </c>
      <c r="O177" s="275">
        <f t="shared" ca="1" si="44"/>
        <v>1</v>
      </c>
      <c r="P177" s="274">
        <f t="shared" ca="1" si="34"/>
        <v>-0.75</v>
      </c>
      <c r="Q177" s="274"/>
      <c r="R177" s="229" t="s">
        <v>1955</v>
      </c>
      <c r="S177" s="223">
        <v>4.0999999999999996</v>
      </c>
      <c r="T177" s="223">
        <f t="shared" si="40"/>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outlineLevel="1">
      <c r="A178" s="30" t="str">
        <f t="shared" si="43"/>
        <v>lt004_protectionepc_lbl</v>
      </c>
      <c r="B178" s="142" t="s">
        <v>26</v>
      </c>
      <c r="C178" s="138" t="s">
        <v>26</v>
      </c>
      <c r="D178" s="252" t="s">
        <v>40</v>
      </c>
      <c r="E178" s="256" t="s">
        <v>369</v>
      </c>
      <c r="F178" s="256"/>
      <c r="G178" s="265" t="s">
        <v>373</v>
      </c>
      <c r="H178" s="254" t="str">
        <f>VLOOKUP(A178,'2. Status Detalhe Campos'!$A$7:$G$574,7,0)</f>
        <v>2.1 Em Teste</v>
      </c>
      <c r="I178" s="228" t="s">
        <v>38</v>
      </c>
      <c r="J178" s="153">
        <v>45596</v>
      </c>
      <c r="K178" s="153">
        <v>45596</v>
      </c>
      <c r="L178" s="278">
        <f t="array" ref="L178">MIN(IF(V178:CH178&gt;0,$V$16:$CH$16))</f>
        <v>45603</v>
      </c>
      <c r="M178" s="277">
        <f t="array" ref="M178">MAX(IF(V178:CH178&gt;0,$V$16:$CH$16))</f>
        <v>45603</v>
      </c>
      <c r="N178" s="275">
        <f>VLOOKUP(H178,Auxiliar!$B$16:$E$24,4,0)</f>
        <v>0.25</v>
      </c>
      <c r="O178" s="275">
        <f t="shared" ca="1" si="44"/>
        <v>1</v>
      </c>
      <c r="P178" s="274">
        <f t="shared" ca="1" si="34"/>
        <v>-0.75</v>
      </c>
      <c r="Q178" s="274"/>
      <c r="R178" s="229" t="s">
        <v>1955</v>
      </c>
      <c r="S178" s="223">
        <v>4.0999999999999996</v>
      </c>
      <c r="T178" s="223">
        <f t="shared" si="40"/>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outlineLevel="1">
      <c r="A179" s="30" t="str">
        <f t="shared" si="43"/>
        <v>lt004_protectionflg_act_physcl_rsk</v>
      </c>
      <c r="B179" s="142" t="s">
        <v>26</v>
      </c>
      <c r="C179" s="138" t="s">
        <v>26</v>
      </c>
      <c r="D179" s="252" t="s">
        <v>40</v>
      </c>
      <c r="E179" s="256" t="s">
        <v>369</v>
      </c>
      <c r="F179" s="256"/>
      <c r="G179" s="265" t="s">
        <v>358</v>
      </c>
      <c r="H179" s="254" t="str">
        <f>VLOOKUP(A179,'2. Status Detalhe Campos'!$A$7:$G$574,7,0)</f>
        <v>3. Pendente de outros desenvolvimentos</v>
      </c>
      <c r="I179" s="228" t="s">
        <v>38</v>
      </c>
      <c r="J179" s="153">
        <v>45596</v>
      </c>
      <c r="K179" s="153">
        <v>45596</v>
      </c>
      <c r="L179" s="278">
        <f t="array" ref="L179">MIN(IF(V179:CH179&gt;0,$V$16:$CH$16))</f>
        <v>45629</v>
      </c>
      <c r="M179" s="277">
        <f t="array" ref="M179">MAX(IF(V179:CH179&gt;0,$V$16:$CH$16))</f>
        <v>45629</v>
      </c>
      <c r="N179" s="275">
        <f>VLOOKUP(H179,Auxiliar!$B$16:$E$24,4,0)</f>
        <v>0</v>
      </c>
      <c r="O179" s="275">
        <f t="shared" ca="1" si="44"/>
        <v>0</v>
      </c>
      <c r="P179" s="274">
        <f t="shared" ca="1" si="34"/>
        <v>0</v>
      </c>
      <c r="Q179" s="274"/>
      <c r="R179" s="229"/>
      <c r="S179" s="223">
        <v>4.0999999999999996</v>
      </c>
      <c r="T179" s="223">
        <f t="shared" si="40"/>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outlineLevel="1">
      <c r="A180" s="30" t="str">
        <f t="shared" si="43"/>
        <v>lt004_protectionflg_chrnc_physcl_rsk</v>
      </c>
      <c r="B180" s="142" t="s">
        <v>26</v>
      </c>
      <c r="C180" s="138" t="s">
        <v>26</v>
      </c>
      <c r="D180" s="252" t="s">
        <v>40</v>
      </c>
      <c r="E180" s="256" t="s">
        <v>369</v>
      </c>
      <c r="F180" s="256"/>
      <c r="G180" s="265" t="s">
        <v>359</v>
      </c>
      <c r="H180" s="254" t="str">
        <f>VLOOKUP(A180,'2. Status Detalhe Campos'!$A$7:$G$574,7,0)</f>
        <v>3. Pendente de outros desenvolvimentos</v>
      </c>
      <c r="I180" s="228" t="s">
        <v>38</v>
      </c>
      <c r="J180" s="153">
        <v>45596</v>
      </c>
      <c r="K180" s="153">
        <v>45596</v>
      </c>
      <c r="L180" s="278">
        <f t="array" ref="L180">MIN(IF(V180:CH180&gt;0,$V$16:$CH$16))</f>
        <v>45629</v>
      </c>
      <c r="M180" s="277">
        <f t="array" ref="M180">MAX(IF(V180:CH180&gt;0,$V$16:$CH$16))</f>
        <v>45629</v>
      </c>
      <c r="N180" s="275">
        <f>VLOOKUP(H180,Auxiliar!$B$16:$E$24,4,0)</f>
        <v>0</v>
      </c>
      <c r="O180" s="275">
        <f t="shared" ca="1" si="44"/>
        <v>0</v>
      </c>
      <c r="P180" s="274">
        <f t="shared" ca="1" si="34"/>
        <v>0</v>
      </c>
      <c r="Q180" s="274"/>
      <c r="R180" s="229"/>
      <c r="S180" s="223">
        <v>4.0999999999999996</v>
      </c>
      <c r="T180" s="223">
        <f t="shared" si="40"/>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 r="A181" s="30"/>
      <c r="B181" s="142" t="s">
        <v>26</v>
      </c>
      <c r="C181" s="138" t="s">
        <v>26</v>
      </c>
      <c r="D181" s="134"/>
      <c r="E181" s="262" t="s">
        <v>369</v>
      </c>
      <c r="F181" s="259" t="s">
        <v>2006</v>
      </c>
      <c r="G181" s="260">
        <f>COUNTA(G182:G187)</f>
        <v>6</v>
      </c>
      <c r="H181" s="136"/>
      <c r="I181" s="339">
        <f>MIN(I182:I187)</f>
        <v>45603</v>
      </c>
      <c r="J181" s="261">
        <f>MIN(J182:J187)</f>
        <v>45596</v>
      </c>
      <c r="K181" s="261">
        <f>MIN(K182:K187)</f>
        <v>45596</v>
      </c>
      <c r="L181" s="258">
        <f>MIN(L182:L187)</f>
        <v>45649</v>
      </c>
      <c r="M181" s="258">
        <f>MAX(M182:M187)</f>
        <v>45649</v>
      </c>
      <c r="N181" s="279">
        <f>SUMPRODUCT(N182:N187,T182:T187)/SUM(T182:T187)</f>
        <v>0.25</v>
      </c>
      <c r="O181" s="279">
        <f ca="1">SUMPRODUCT(O182:O187,T182:T187)/SUM(T182:T187)</f>
        <v>0</v>
      </c>
      <c r="P181" s="274">
        <f t="shared" ca="1" si="34"/>
        <v>0.25</v>
      </c>
      <c r="Q181" s="283" t="s">
        <v>2018</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226"/>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4"/>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outlineLevel="1">
      <c r="A182" s="30" t="str">
        <f t="shared" ref="A182:A187" si="45">E182&amp;G182</f>
        <v>lt004_protectionemssns_scp1_prtctn</v>
      </c>
      <c r="B182" s="142" t="s">
        <v>26</v>
      </c>
      <c r="C182" s="138" t="s">
        <v>26</v>
      </c>
      <c r="D182" s="252" t="s">
        <v>40</v>
      </c>
      <c r="E182" s="256" t="s">
        <v>369</v>
      </c>
      <c r="F182" s="256"/>
      <c r="G182" s="265" t="s">
        <v>374</v>
      </c>
      <c r="H182" s="254" t="str">
        <f>VLOOKUP(A182,'2. Status Detalhe Campos'!$A$7:$G$574,7,0)</f>
        <v>2.1 Em Teste</v>
      </c>
      <c r="I182" s="263">
        <v>45603</v>
      </c>
      <c r="J182" s="237">
        <v>45596</v>
      </c>
      <c r="K182" s="237">
        <v>45596</v>
      </c>
      <c r="L182" s="278">
        <f t="array" ref="L182">MIN(IF(V182:CH182&gt;0,$V$16:$CH$16))</f>
        <v>45649</v>
      </c>
      <c r="M182" s="277">
        <f t="array" ref="M182">MAX(IF(V182:CH182&gt;0,$V$16:$CH$16))</f>
        <v>45649</v>
      </c>
      <c r="N182" s="275">
        <f>VLOOKUP(H182,Auxiliar!$B$16:$E$24,4,0)</f>
        <v>0.25</v>
      </c>
      <c r="O182" s="275">
        <f t="shared" ref="O182:O187" ca="1" si="46">IF(TODAY()&lt;=L182,0,MIN((TODAY()-L182)/(M182-L182+1),100%))</f>
        <v>0</v>
      </c>
      <c r="P182" s="274">
        <f t="shared" ca="1" si="34"/>
        <v>0.25</v>
      </c>
      <c r="Q182" s="283" t="s">
        <v>38</v>
      </c>
      <c r="R182" s="229" t="s">
        <v>1956</v>
      </c>
      <c r="S182" s="223">
        <v>4.0999999999999996</v>
      </c>
      <c r="T182" s="223">
        <f t="shared" ref="T182:T187" si="47">ROUND(S182/8,1)</f>
        <v>0.5</v>
      </c>
      <c r="U182" s="223">
        <f t="shared" ref="U182:U187" si="48">SUM(V182:CH182)-T182</f>
        <v>0</v>
      </c>
      <c r="V182" s="79"/>
      <c r="W182" s="79"/>
      <c r="X182" s="79"/>
      <c r="Y182" s="79"/>
      <c r="Z182" s="79"/>
      <c r="AA182" s="79"/>
      <c r="AB182" s="226"/>
      <c r="AC182" s="92"/>
      <c r="AD182" s="79"/>
      <c r="AE182" s="79"/>
      <c r="AF182" s="79"/>
      <c r="AG182" s="236"/>
      <c r="AH182" s="79"/>
      <c r="AI182" s="79"/>
      <c r="AJ182" s="79"/>
      <c r="AK182" s="79"/>
      <c r="AL182" s="79"/>
      <c r="AM182" s="226"/>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outlineLevel="1">
      <c r="A183" s="30" t="str">
        <f t="shared" si="45"/>
        <v>lt004_protectionemssns_scp2_prtctn</v>
      </c>
      <c r="B183" s="142" t="s">
        <v>26</v>
      </c>
      <c r="C183" s="138" t="s">
        <v>26</v>
      </c>
      <c r="D183" s="252" t="s">
        <v>40</v>
      </c>
      <c r="E183" s="256" t="s">
        <v>369</v>
      </c>
      <c r="F183" s="256"/>
      <c r="G183" s="265" t="s">
        <v>375</v>
      </c>
      <c r="H183" s="254" t="str">
        <f>VLOOKUP(A183,'2. Status Detalhe Campos'!$A$7:$G$574,7,0)</f>
        <v>2.1 Em Teste</v>
      </c>
      <c r="I183" s="263">
        <v>45603</v>
      </c>
      <c r="J183" s="237">
        <v>45596</v>
      </c>
      <c r="K183" s="237">
        <v>45596</v>
      </c>
      <c r="L183" s="278">
        <f t="array" ref="L183">MIN(IF(V183:CH183&gt;0,$V$16:$CH$16))</f>
        <v>45649</v>
      </c>
      <c r="M183" s="277">
        <f t="array" ref="M183">MAX(IF(V183:CH183&gt;0,$V$16:$CH$16))</f>
        <v>45649</v>
      </c>
      <c r="N183" s="275">
        <f>VLOOKUP(H183,Auxiliar!$B$16:$E$24,4,0)</f>
        <v>0.25</v>
      </c>
      <c r="O183" s="275">
        <f t="shared" ca="1" si="46"/>
        <v>0</v>
      </c>
      <c r="P183" s="274">
        <f t="shared" ca="1" si="34"/>
        <v>0.25</v>
      </c>
      <c r="Q183" s="283" t="s">
        <v>38</v>
      </c>
      <c r="R183" s="229" t="s">
        <v>1956</v>
      </c>
      <c r="S183" s="223">
        <v>4.0999999999999996</v>
      </c>
      <c r="T183" s="223">
        <f t="shared" si="47"/>
        <v>0.5</v>
      </c>
      <c r="U183" s="223">
        <f t="shared" si="48"/>
        <v>0</v>
      </c>
      <c r="V183" s="79"/>
      <c r="W183" s="79"/>
      <c r="X183" s="79"/>
      <c r="Y183" s="79"/>
      <c r="Z183" s="79"/>
      <c r="AA183" s="79"/>
      <c r="AB183" s="226"/>
      <c r="AC183" s="92"/>
      <c r="AD183" s="79"/>
      <c r="AE183" s="79"/>
      <c r="AF183" s="79"/>
      <c r="AG183" s="236"/>
      <c r="AH183" s="79"/>
      <c r="AI183" s="79"/>
      <c r="AJ183" s="79"/>
      <c r="AK183" s="79"/>
      <c r="AL183" s="79"/>
      <c r="AM183" s="226"/>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outlineLevel="1">
      <c r="A184" s="30" t="str">
        <f t="shared" si="45"/>
        <v>lt004_protectionemssns_scp3_prtctn</v>
      </c>
      <c r="B184" s="142" t="s">
        <v>26</v>
      </c>
      <c r="C184" s="138" t="s">
        <v>26</v>
      </c>
      <c r="D184" s="252" t="s">
        <v>40</v>
      </c>
      <c r="E184" s="256" t="s">
        <v>369</v>
      </c>
      <c r="F184" s="256"/>
      <c r="G184" s="265" t="s">
        <v>376</v>
      </c>
      <c r="H184" s="254" t="str">
        <f>VLOOKUP(A184,'2. Status Detalhe Campos'!$A$7:$G$574,7,0)</f>
        <v>2.1 Em Teste</v>
      </c>
      <c r="I184" s="263">
        <v>45603</v>
      </c>
      <c r="J184" s="237">
        <v>45596</v>
      </c>
      <c r="K184" s="237">
        <v>45596</v>
      </c>
      <c r="L184" s="278">
        <f t="array" ref="L184">MIN(IF(V184:CH184&gt;0,$V$16:$CH$16))</f>
        <v>45649</v>
      </c>
      <c r="M184" s="277">
        <f t="array" ref="M184">MAX(IF(V184:CH184&gt;0,$V$16:$CH$16))</f>
        <v>45649</v>
      </c>
      <c r="N184" s="275">
        <f>VLOOKUP(H184,Auxiliar!$B$16:$E$24,4,0)</f>
        <v>0.25</v>
      </c>
      <c r="O184" s="275">
        <f t="shared" ca="1" si="46"/>
        <v>0</v>
      </c>
      <c r="P184" s="274">
        <f t="shared" ca="1" si="34"/>
        <v>0.25</v>
      </c>
      <c r="Q184" s="283" t="s">
        <v>38</v>
      </c>
      <c r="R184" s="229" t="s">
        <v>1956</v>
      </c>
      <c r="S184" s="223">
        <v>4.0999999999999996</v>
      </c>
      <c r="T184" s="223">
        <f t="shared" si="47"/>
        <v>0.5</v>
      </c>
      <c r="U184" s="223">
        <f t="shared" si="48"/>
        <v>0</v>
      </c>
      <c r="V184" s="79"/>
      <c r="W184" s="79"/>
      <c r="X184" s="79"/>
      <c r="Y184" s="79"/>
      <c r="Z184" s="79"/>
      <c r="AA184" s="79"/>
      <c r="AB184" s="226"/>
      <c r="AC184" s="92"/>
      <c r="AD184" s="79"/>
      <c r="AE184" s="79"/>
      <c r="AF184" s="79"/>
      <c r="AG184" s="236"/>
      <c r="AH184" s="79"/>
      <c r="AI184" s="79"/>
      <c r="AJ184" s="79"/>
      <c r="AK184" s="79"/>
      <c r="AL184" s="79"/>
      <c r="AM184" s="226"/>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outlineLevel="1">
      <c r="A185" s="30" t="str">
        <f t="shared" si="45"/>
        <v>lt004_protectionmthd_usd_prtctn_scp_1</v>
      </c>
      <c r="B185" s="142" t="s">
        <v>26</v>
      </c>
      <c r="C185" s="138" t="s">
        <v>26</v>
      </c>
      <c r="D185" s="252" t="s">
        <v>40</v>
      </c>
      <c r="E185" s="256" t="s">
        <v>369</v>
      </c>
      <c r="F185" s="256"/>
      <c r="G185" s="265" t="s">
        <v>377</v>
      </c>
      <c r="H185" s="254" t="str">
        <f>VLOOKUP(A185,'2. Status Detalhe Campos'!$A$7:$G$574,7,0)</f>
        <v>2.1 Em Teste</v>
      </c>
      <c r="I185" s="263">
        <v>45603</v>
      </c>
      <c r="J185" s="237">
        <v>45596</v>
      </c>
      <c r="K185" s="237">
        <v>45596</v>
      </c>
      <c r="L185" s="278">
        <f t="array" ref="L185">MIN(IF(V185:CH185&gt;0,$V$16:$CH$16))</f>
        <v>45649</v>
      </c>
      <c r="M185" s="277">
        <f t="array" ref="M185">MAX(IF(V185:CH185&gt;0,$V$16:$CH$16))</f>
        <v>45649</v>
      </c>
      <c r="N185" s="275">
        <f>VLOOKUP(H185,Auxiliar!$B$16:$E$24,4,0)</f>
        <v>0.25</v>
      </c>
      <c r="O185" s="275">
        <f t="shared" ca="1" si="46"/>
        <v>0</v>
      </c>
      <c r="P185" s="274">
        <f t="shared" ca="1" si="34"/>
        <v>0.25</v>
      </c>
      <c r="Q185" s="283" t="s">
        <v>38</v>
      </c>
      <c r="R185" s="229" t="s">
        <v>1956</v>
      </c>
      <c r="S185" s="223">
        <v>4.0999999999999996</v>
      </c>
      <c r="T185" s="223">
        <f t="shared" si="47"/>
        <v>0.5</v>
      </c>
      <c r="U185" s="223">
        <f t="shared" si="48"/>
        <v>0</v>
      </c>
      <c r="V185" s="79"/>
      <c r="W185" s="79"/>
      <c r="X185" s="79"/>
      <c r="Y185" s="79"/>
      <c r="Z185" s="79"/>
      <c r="AA185" s="79"/>
      <c r="AB185" s="226"/>
      <c r="AC185" s="92"/>
      <c r="AD185" s="79"/>
      <c r="AE185" s="79"/>
      <c r="AF185" s="79"/>
      <c r="AG185" s="236"/>
      <c r="AH185" s="79"/>
      <c r="AI185" s="79"/>
      <c r="AJ185" s="79"/>
      <c r="AK185" s="79"/>
      <c r="AL185" s="79"/>
      <c r="AM185" s="226"/>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outlineLevel="1">
      <c r="A186" s="30" t="str">
        <f t="shared" si="45"/>
        <v>lt004_protectionmthd_usd_prtctn_scp_2</v>
      </c>
      <c r="B186" s="142" t="s">
        <v>26</v>
      </c>
      <c r="C186" s="138" t="s">
        <v>26</v>
      </c>
      <c r="D186" s="252" t="s">
        <v>40</v>
      </c>
      <c r="E186" s="256" t="s">
        <v>369</v>
      </c>
      <c r="F186" s="256"/>
      <c r="G186" s="265" t="s">
        <v>378</v>
      </c>
      <c r="H186" s="254" t="str">
        <f>VLOOKUP(A186,'2. Status Detalhe Campos'!$A$7:$G$574,7,0)</f>
        <v>2.1 Em Teste</v>
      </c>
      <c r="I186" s="263">
        <v>45603</v>
      </c>
      <c r="J186" s="237">
        <v>45596</v>
      </c>
      <c r="K186" s="237">
        <v>45596</v>
      </c>
      <c r="L186" s="278">
        <f t="array" ref="L186">MIN(IF(V186:CH186&gt;0,$V$16:$CH$16))</f>
        <v>45649</v>
      </c>
      <c r="M186" s="277">
        <f t="array" ref="M186">MAX(IF(V186:CH186&gt;0,$V$16:$CH$16))</f>
        <v>45649</v>
      </c>
      <c r="N186" s="275">
        <f>VLOOKUP(H186,Auxiliar!$B$16:$E$24,4,0)</f>
        <v>0.25</v>
      </c>
      <c r="O186" s="275">
        <f t="shared" ca="1" si="46"/>
        <v>0</v>
      </c>
      <c r="P186" s="274">
        <f t="shared" ca="1" si="34"/>
        <v>0.25</v>
      </c>
      <c r="Q186" s="283" t="s">
        <v>38</v>
      </c>
      <c r="R186" s="229" t="s">
        <v>1956</v>
      </c>
      <c r="S186" s="223">
        <v>4.0999999999999996</v>
      </c>
      <c r="T186" s="223">
        <f t="shared" si="47"/>
        <v>0.5</v>
      </c>
      <c r="U186" s="223">
        <f t="shared" si="48"/>
        <v>0</v>
      </c>
      <c r="V186" s="79"/>
      <c r="W186" s="79"/>
      <c r="X186" s="79"/>
      <c r="Y186" s="79"/>
      <c r="Z186" s="79"/>
      <c r="AA186" s="79"/>
      <c r="AB186" s="226"/>
      <c r="AC186" s="92"/>
      <c r="AD186" s="79"/>
      <c r="AE186" s="79"/>
      <c r="AF186" s="79"/>
      <c r="AG186" s="236"/>
      <c r="AH186" s="79"/>
      <c r="AI186" s="79"/>
      <c r="AJ186" s="79"/>
      <c r="AK186" s="79"/>
      <c r="AL186" s="79"/>
      <c r="AM186" s="226"/>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outlineLevel="1">
      <c r="A187" s="30" t="str">
        <f t="shared" si="45"/>
        <v>lt004_protectionmthd_usd_prtctn_scp_3</v>
      </c>
      <c r="B187" s="142" t="s">
        <v>26</v>
      </c>
      <c r="C187" s="138" t="s">
        <v>26</v>
      </c>
      <c r="D187" s="252" t="s">
        <v>40</v>
      </c>
      <c r="E187" s="256" t="s">
        <v>369</v>
      </c>
      <c r="F187" s="256"/>
      <c r="G187" s="265" t="s">
        <v>379</v>
      </c>
      <c r="H187" s="254" t="str">
        <f>VLOOKUP(A187,'2. Status Detalhe Campos'!$A$7:$G$574,7,0)</f>
        <v>2.1 Em Teste</v>
      </c>
      <c r="I187" s="263">
        <v>45603</v>
      </c>
      <c r="J187" s="237">
        <v>45596</v>
      </c>
      <c r="K187" s="237">
        <v>45596</v>
      </c>
      <c r="L187" s="278">
        <f t="array" ref="L187">MIN(IF(V187:CH187&gt;0,$V$16:$CH$16))</f>
        <v>45649</v>
      </c>
      <c r="M187" s="277">
        <f t="array" ref="M187">MAX(IF(V187:CH187&gt;0,$V$16:$CH$16))</f>
        <v>45649</v>
      </c>
      <c r="N187" s="275">
        <f>VLOOKUP(H187,Auxiliar!$B$16:$E$24,4,0)</f>
        <v>0.25</v>
      </c>
      <c r="O187" s="275">
        <f t="shared" ca="1" si="46"/>
        <v>0</v>
      </c>
      <c r="P187" s="274">
        <f t="shared" ca="1" si="34"/>
        <v>0.25</v>
      </c>
      <c r="Q187" s="283" t="s">
        <v>38</v>
      </c>
      <c r="R187" s="229" t="s">
        <v>1956</v>
      </c>
      <c r="S187" s="223">
        <v>4.0999999999999996</v>
      </c>
      <c r="T187" s="223">
        <f t="shared" si="47"/>
        <v>0.5</v>
      </c>
      <c r="U187" s="223">
        <f t="shared" si="48"/>
        <v>0</v>
      </c>
      <c r="V187" s="79"/>
      <c r="W187" s="79"/>
      <c r="X187" s="79"/>
      <c r="Y187" s="79"/>
      <c r="Z187" s="79"/>
      <c r="AA187" s="79"/>
      <c r="AB187" s="226"/>
      <c r="AC187" s="92"/>
      <c r="AD187" s="79"/>
      <c r="AE187" s="79"/>
      <c r="AF187" s="79"/>
      <c r="AG187" s="236"/>
      <c r="AH187" s="79"/>
      <c r="AI187" s="79"/>
      <c r="AJ187" s="79"/>
      <c r="AK187" s="79"/>
      <c r="AL187" s="79"/>
      <c r="AM187" s="226"/>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 r="A188" s="30"/>
      <c r="B188" s="142" t="s">
        <v>26</v>
      </c>
      <c r="C188" s="138" t="s">
        <v>26</v>
      </c>
      <c r="D188" s="134"/>
      <c r="E188" s="262" t="s">
        <v>369</v>
      </c>
      <c r="F188" s="259" t="s">
        <v>2002</v>
      </c>
      <c r="G188" s="260">
        <f>COUNTA(G189:G192)</f>
        <v>4</v>
      </c>
      <c r="H188" s="136"/>
      <c r="I188" s="258">
        <f>MAX(I189:I192)</f>
        <v>45595</v>
      </c>
      <c r="J188" s="257">
        <f>MIN(J189:J192)</f>
        <v>45611</v>
      </c>
      <c r="K188" s="228"/>
      <c r="L188" s="257">
        <f>MIN(L189:L192)</f>
        <v>0</v>
      </c>
      <c r="M188" s="258">
        <f>MAX(M189:M193)</f>
        <v>45614</v>
      </c>
      <c r="N188" s="279">
        <f>SUMPRODUCT(N189:N193,T189:T193)/SUM(T189:T193)</f>
        <v>0</v>
      </c>
      <c r="O188" s="279">
        <f ca="1">SUMPRODUCT(O189:O193,T189:T193)/SUM(T189:T193)</f>
        <v>1</v>
      </c>
      <c r="P188" s="342">
        <f t="shared" ca="1" si="34"/>
        <v>-1</v>
      </c>
      <c r="Q188" s="283" t="s">
        <v>2033</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26"/>
      <c r="AN188" s="79"/>
      <c r="AO188" s="79"/>
      <c r="AP188" s="79"/>
      <c r="AQ188" s="79"/>
      <c r="AR188" s="264"/>
      <c r="AS188" s="79"/>
      <c r="AT188" s="79"/>
      <c r="AU188" s="79"/>
      <c r="AV188" s="79"/>
      <c r="AW188" s="79"/>
      <c r="AX188" s="79"/>
      <c r="AY188" s="79"/>
      <c r="AZ188" s="79"/>
      <c r="BA188" s="79"/>
      <c r="BB188" s="79"/>
      <c r="BC188" s="79"/>
      <c r="BD188" s="79"/>
      <c r="BE188" s="79"/>
      <c r="BF188" s="79"/>
      <c r="BG188" s="298"/>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3"/>
        <v>lt004_protectionprtctn_id</v>
      </c>
      <c r="B189" s="142" t="s">
        <v>26</v>
      </c>
      <c r="C189" s="138" t="s">
        <v>26</v>
      </c>
      <c r="D189" s="252" t="s">
        <v>40</v>
      </c>
      <c r="E189" s="256" t="s">
        <v>369</v>
      </c>
      <c r="F189" s="256"/>
      <c r="G189" s="265" t="s">
        <v>434</v>
      </c>
      <c r="H189" s="254" t="str">
        <f>VLOOKUP(A189,'2. Status Detalhe Campos'!$A$7:$G$574,7,0)</f>
        <v>2.1 Em Teste</v>
      </c>
      <c r="I189" s="153">
        <v>45588</v>
      </c>
      <c r="J189" s="337">
        <v>45611</v>
      </c>
      <c r="K189" s="297">
        <v>45611</v>
      </c>
      <c r="L189" s="278">
        <f t="array" ref="L189">MIN(IF(V189:CH189&gt;0,$V$16:$CH$16))</f>
        <v>45614</v>
      </c>
      <c r="M189" s="277">
        <f t="array" ref="M189">MAX(IF(V189:CH189&gt;0,$V$16:$CH$16))</f>
        <v>45614</v>
      </c>
      <c r="N189" s="275">
        <f>VLOOKUP(H189,Auxiliar!$B$16:$E$24,4,0)</f>
        <v>0.25</v>
      </c>
      <c r="O189" s="275">
        <f t="shared" ref="O189:O193" ca="1" si="49">IF(TODAY()&lt;=L189,0,MIN((TODAY()-L189)/(M189-L189+1),100%))</f>
        <v>1</v>
      </c>
      <c r="P189" s="274">
        <f t="shared" ca="1" si="34"/>
        <v>-0.75</v>
      </c>
      <c r="Q189" s="283" t="s">
        <v>38</v>
      </c>
      <c r="R189" s="229"/>
      <c r="S189" s="223">
        <v>0.1</v>
      </c>
      <c r="T189" s="223">
        <f t="shared" ref="T189:T199" si="50">ROUND(S189/8,1)</f>
        <v>0</v>
      </c>
      <c r="U189" s="232">
        <f>SUM(V189:CH189)-T189</f>
        <v>0.1</v>
      </c>
      <c r="V189" s="290"/>
      <c r="W189" s="236"/>
      <c r="X189" s="79"/>
      <c r="Y189" s="79"/>
      <c r="Z189" s="79"/>
      <c r="AA189" s="79"/>
      <c r="AB189" s="79"/>
      <c r="AC189" s="92"/>
      <c r="AD189" s="79"/>
      <c r="AE189" s="79"/>
      <c r="AF189" s="79"/>
      <c r="AG189" s="79"/>
      <c r="AH189" s="79"/>
      <c r="AI189" s="79"/>
      <c r="AJ189" s="79"/>
      <c r="AK189" s="79"/>
      <c r="AL189" s="79"/>
      <c r="AM189" s="226"/>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3"/>
        <v>lt004_protectionrl_estt_clltrl_lctn</v>
      </c>
      <c r="B190" s="142" t="s">
        <v>26</v>
      </c>
      <c r="C190" s="138" t="s">
        <v>26</v>
      </c>
      <c r="D190" s="252" t="s">
        <v>40</v>
      </c>
      <c r="E190" s="256" t="s">
        <v>369</v>
      </c>
      <c r="F190" s="256"/>
      <c r="G190" s="265" t="s">
        <v>435</v>
      </c>
      <c r="H190" s="254" t="str">
        <f>VLOOKUP(A190,'2. Status Detalhe Campos'!$A$7:$G$574,7,0)</f>
        <v>2.1 Em Teste</v>
      </c>
      <c r="I190" s="153">
        <v>45588</v>
      </c>
      <c r="J190" s="337">
        <v>45611</v>
      </c>
      <c r="K190" s="297">
        <v>45611</v>
      </c>
      <c r="L190" s="278">
        <f t="array" ref="L190">MIN(IF(V190:CH190&gt;0,$V$16:$CH$16))</f>
        <v>45614</v>
      </c>
      <c r="M190" s="277">
        <f t="array" ref="M190">MAX(IF(V190:CH190&gt;0,$V$16:$CH$16))</f>
        <v>45614</v>
      </c>
      <c r="N190" s="275">
        <f>VLOOKUP(H190,Auxiliar!$B$16:$E$24,4,0)</f>
        <v>0.25</v>
      </c>
      <c r="O190" s="275">
        <f t="shared" ca="1" si="49"/>
        <v>1</v>
      </c>
      <c r="P190" s="274">
        <f t="shared" ca="1" si="34"/>
        <v>-0.75</v>
      </c>
      <c r="Q190" s="283" t="s">
        <v>38</v>
      </c>
      <c r="R190" s="229"/>
      <c r="S190" s="223">
        <v>0.1</v>
      </c>
      <c r="T190" s="223">
        <f t="shared" si="50"/>
        <v>0</v>
      </c>
      <c r="U190" s="232">
        <f>SUM(V190:CH190)-T190</f>
        <v>0.1</v>
      </c>
      <c r="V190" s="290"/>
      <c r="W190" s="236"/>
      <c r="X190" s="79"/>
      <c r="Y190" s="236"/>
      <c r="Z190" s="79"/>
      <c r="AA190" s="79"/>
      <c r="AB190" s="79"/>
      <c r="AC190" s="92"/>
      <c r="AD190" s="79"/>
      <c r="AE190" s="79"/>
      <c r="AF190" s="79"/>
      <c r="AG190" s="79"/>
      <c r="AH190" s="79"/>
      <c r="AI190" s="79"/>
      <c r="AJ190" s="79"/>
      <c r="AK190" s="79"/>
      <c r="AL190" s="79"/>
      <c r="AM190" s="226"/>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3"/>
        <v>lt004_protectionrl_estt_pst_cd</v>
      </c>
      <c r="B191" s="142" t="s">
        <v>26</v>
      </c>
      <c r="C191" s="138" t="s">
        <v>26</v>
      </c>
      <c r="D191" s="252" t="s">
        <v>40</v>
      </c>
      <c r="E191" s="256" t="s">
        <v>369</v>
      </c>
      <c r="F191" s="256"/>
      <c r="G191" s="265" t="s">
        <v>436</v>
      </c>
      <c r="H191" s="254" t="str">
        <f>VLOOKUP(A191,'2. Status Detalhe Campos'!$A$7:$G$574,7,0)</f>
        <v>2.1 Em Teste</v>
      </c>
      <c r="I191" s="153">
        <v>45588</v>
      </c>
      <c r="J191" s="337">
        <v>45611</v>
      </c>
      <c r="K191" s="297">
        <v>45611</v>
      </c>
      <c r="L191" s="278">
        <f t="array" ref="L191">MIN(IF(V191:CH191&gt;0,$V$16:$CH$16))</f>
        <v>45614</v>
      </c>
      <c r="M191" s="277">
        <f t="array" ref="M191">MAX(IF(V191:CH191&gt;0,$V$16:$CH$16))</f>
        <v>45614</v>
      </c>
      <c r="N191" s="275">
        <f>VLOOKUP(H191,Auxiliar!$B$16:$E$24,4,0)</f>
        <v>0.25</v>
      </c>
      <c r="O191" s="275">
        <f t="shared" ca="1" si="49"/>
        <v>1</v>
      </c>
      <c r="P191" s="274">
        <f t="shared" ca="1" si="34"/>
        <v>-0.75</v>
      </c>
      <c r="Q191" s="283" t="s">
        <v>2032</v>
      </c>
      <c r="R191" s="229"/>
      <c r="S191" s="223">
        <v>0.1</v>
      </c>
      <c r="T191" s="223">
        <f t="shared" si="50"/>
        <v>0</v>
      </c>
      <c r="U191" s="232">
        <f>SUM(V191:CH191)-T191</f>
        <v>0.1</v>
      </c>
      <c r="V191" s="290"/>
      <c r="W191" s="236"/>
      <c r="X191" s="79"/>
      <c r="Y191" s="79"/>
      <c r="Z191" s="79"/>
      <c r="AA191" s="79"/>
      <c r="AB191" s="79"/>
      <c r="AC191" s="92"/>
      <c r="AD191" s="79"/>
      <c r="AE191" s="79"/>
      <c r="AF191" s="79"/>
      <c r="AG191" s="79"/>
      <c r="AH191" s="79"/>
      <c r="AI191" s="79"/>
      <c r="AJ191" s="79"/>
      <c r="AK191" s="79"/>
      <c r="AL191" s="79"/>
      <c r="AM191" s="226"/>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3"/>
        <v>lt004_protectionorgnl_prtctn_vl</v>
      </c>
      <c r="B192" s="142" t="s">
        <v>26</v>
      </c>
      <c r="C192" s="138" t="s">
        <v>26</v>
      </c>
      <c r="D192" s="252" t="s">
        <v>40</v>
      </c>
      <c r="E192" s="256" t="s">
        <v>369</v>
      </c>
      <c r="F192" s="256"/>
      <c r="G192" s="265" t="s">
        <v>438</v>
      </c>
      <c r="H192" s="254" t="str">
        <f>VLOOKUP(A192,'2. Status Detalhe Campos'!$A$7:$G$574,7,0)</f>
        <v>3. Pendente de outros desenvolvimentos</v>
      </c>
      <c r="I192" s="153">
        <v>45595</v>
      </c>
      <c r="J192" s="337">
        <v>45611</v>
      </c>
      <c r="K192" s="297">
        <v>45611</v>
      </c>
      <c r="L192" s="278">
        <f t="array" ref="L192">MIN(IF(V192:CH192&gt;0,$V$16:$CH$16))</f>
        <v>0</v>
      </c>
      <c r="M192" s="277">
        <f t="array" ref="M192">MAX(IF(V192:CH192&gt;0,$V$16:$CH$16))</f>
        <v>0</v>
      </c>
      <c r="N192" s="275">
        <f>VLOOKUP(H192,Auxiliar!$B$16:$E$24,4,0)</f>
        <v>0</v>
      </c>
      <c r="O192" s="275">
        <f t="shared" ca="1" si="49"/>
        <v>1</v>
      </c>
      <c r="P192" s="274">
        <f t="shared" ca="1" si="34"/>
        <v>-1</v>
      </c>
      <c r="Q192" s="283" t="s">
        <v>38</v>
      </c>
      <c r="R192" s="229"/>
      <c r="S192" s="240">
        <v>1</v>
      </c>
      <c r="T192" s="223">
        <f t="shared" si="50"/>
        <v>0.1</v>
      </c>
      <c r="U192" s="223">
        <f>SUM(V192:CH192)-T192</f>
        <v>-0.1</v>
      </c>
      <c r="V192" s="79"/>
      <c r="W192" s="79"/>
      <c r="X192" s="79"/>
      <c r="Y192" s="79"/>
      <c r="Z192" s="79"/>
      <c r="AA192" s="236"/>
      <c r="AB192" s="79"/>
      <c r="AC192" s="92"/>
      <c r="AD192" s="79"/>
      <c r="AE192" s="79"/>
      <c r="AF192" s="79"/>
      <c r="AG192" s="79"/>
      <c r="AH192" s="79"/>
      <c r="AI192" s="79"/>
      <c r="AJ192" s="79"/>
      <c r="AK192" s="79"/>
      <c r="AL192" s="79"/>
      <c r="AM192" s="226"/>
      <c r="AN192" s="79"/>
      <c r="AO192" s="79"/>
      <c r="AP192" s="79"/>
      <c r="AQ192" s="79"/>
      <c r="AR192" s="79"/>
      <c r="AS192" s="79"/>
      <c r="AT192" s="79"/>
      <c r="AU192" s="79"/>
      <c r="AV192" s="79"/>
      <c r="AW192" s="79"/>
      <c r="AX192" s="79"/>
      <c r="AY192" s="79"/>
      <c r="AZ192" s="79"/>
      <c r="BA192" s="79"/>
      <c r="BB192" s="79"/>
      <c r="BC192" s="79"/>
      <c r="BD192" s="79"/>
      <c r="BE192" s="79"/>
      <c r="BF192" s="79"/>
      <c r="BG192" s="298"/>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outlineLevel="1">
      <c r="A193" s="30" t="str">
        <f t="shared" si="43"/>
        <v>lt004_protectiontyp_ep_scr</v>
      </c>
      <c r="B193" s="142" t="s">
        <v>26</v>
      </c>
      <c r="C193" s="138" t="s">
        <v>26</v>
      </c>
      <c r="D193" s="252"/>
      <c r="E193" s="256" t="s">
        <v>369</v>
      </c>
      <c r="F193" s="256"/>
      <c r="G193" s="265" t="s">
        <v>370</v>
      </c>
      <c r="H193" s="254" t="str">
        <f>VLOOKUP(A193,'2. Status Detalhe Campos'!$A$7:$G$574,7,0)</f>
        <v>2.1 Em Teste</v>
      </c>
      <c r="I193" s="153">
        <v>45595</v>
      </c>
      <c r="J193" s="337">
        <v>45611</v>
      </c>
      <c r="K193" s="297">
        <v>45611</v>
      </c>
      <c r="L193" s="278">
        <f t="array" ref="L193">MIN(IF(V193:CH193&gt;0,$V$16:$CH$16))</f>
        <v>45614</v>
      </c>
      <c r="M193" s="277">
        <f t="array" ref="M193">MAX(IF(V193:CH193&gt;0,$V$16:$CH$16))</f>
        <v>45614</v>
      </c>
      <c r="N193" s="275">
        <f>VLOOKUP(H193,Auxiliar!$B$16:$E$24,4,0)</f>
        <v>0.25</v>
      </c>
      <c r="O193" s="275">
        <f t="shared" ca="1" si="49"/>
        <v>1</v>
      </c>
      <c r="P193" s="274">
        <f t="shared" ca="1" si="34"/>
        <v>-0.75</v>
      </c>
      <c r="Q193" s="283" t="s">
        <v>38</v>
      </c>
      <c r="R193" s="229"/>
      <c r="S193" s="240"/>
      <c r="T193" s="223"/>
      <c r="U193" s="223"/>
      <c r="V193" s="79"/>
      <c r="W193" s="79"/>
      <c r="X193" s="79"/>
      <c r="Y193" s="79"/>
      <c r="Z193" s="79"/>
      <c r="AA193" s="236"/>
      <c r="AB193" s="79"/>
      <c r="AC193" s="92"/>
      <c r="AD193" s="79"/>
      <c r="AE193" s="79"/>
      <c r="AF193" s="79"/>
      <c r="AG193" s="79"/>
      <c r="AH193" s="79"/>
      <c r="AI193" s="79"/>
      <c r="AJ193" s="79"/>
      <c r="AK193" s="79"/>
      <c r="AL193" s="79"/>
      <c r="AM193" s="226"/>
      <c r="AN193" s="79">
        <v>0.1</v>
      </c>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79"/>
      <c r="BK193" s="79"/>
      <c r="BL193" s="79"/>
      <c r="BM193" s="79"/>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c r="A194" s="30"/>
      <c r="B194" s="142" t="s">
        <v>26</v>
      </c>
      <c r="C194" s="138" t="s">
        <v>26</v>
      </c>
      <c r="D194" s="134"/>
      <c r="E194" s="262" t="s">
        <v>369</v>
      </c>
      <c r="F194" s="259" t="s">
        <v>2003</v>
      </c>
      <c r="G194" s="260">
        <f>COUNTA(G195:G199)</f>
        <v>5</v>
      </c>
      <c r="H194" s="136"/>
      <c r="I194" s="258">
        <f>MAX(I195:I199)</f>
        <v>45593</v>
      </c>
      <c r="J194" s="257">
        <f>MIN(J195:J199)</f>
        <v>45624</v>
      </c>
      <c r="K194" s="228"/>
      <c r="L194" s="257">
        <f>MIN(L195:L199)</f>
        <v>45646</v>
      </c>
      <c r="M194" s="258">
        <f>MAX(M195:M199)</f>
        <v>45649</v>
      </c>
      <c r="N194" s="279">
        <f>SUMPRODUCT(N195:N199,T195:T199)/SUM(T195:T199)</f>
        <v>0</v>
      </c>
      <c r="O194" s="279">
        <f ca="1">SUMPRODUCT(O195:O199,T195:T199)/SUM(T195:T199)</f>
        <v>0</v>
      </c>
      <c r="P194" s="274">
        <f t="shared" ca="1" si="34"/>
        <v>0</v>
      </c>
      <c r="Q194" s="283" t="s">
        <v>38</v>
      </c>
      <c r="R194" s="229"/>
      <c r="S194" s="223"/>
      <c r="T194" s="223"/>
      <c r="U194" s="223"/>
      <c r="V194" s="79"/>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c r="BM194" s="264"/>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outlineLevel="1">
      <c r="A195" s="30" t="str">
        <f t="shared" si="43"/>
        <v>lt004_protectionprtctn_vl</v>
      </c>
      <c r="B195" s="142" t="s">
        <v>26</v>
      </c>
      <c r="C195" s="138" t="s">
        <v>26</v>
      </c>
      <c r="D195" s="252" t="s">
        <v>40</v>
      </c>
      <c r="E195" s="256" t="s">
        <v>369</v>
      </c>
      <c r="F195" s="256"/>
      <c r="G195" s="256" t="s">
        <v>439</v>
      </c>
      <c r="H195" s="254" t="str">
        <f>VLOOKUP(A195,'2. Status Detalhe Campos'!$A$7:$G$574,7,0)</f>
        <v>6. Em implementação (re-especificação)</v>
      </c>
      <c r="I195" s="153">
        <v>45588</v>
      </c>
      <c r="J195" s="234">
        <v>45624</v>
      </c>
      <c r="K195" s="228"/>
      <c r="L195" s="278">
        <f t="array" ref="L195">MIN(IF(V195:CH195&gt;0,$V$16:$CH$16))</f>
        <v>45646</v>
      </c>
      <c r="M195" s="277">
        <f t="array" ref="M195">MAX(IF(V195:CH195&gt;0,$V$16:$CH$16))</f>
        <v>45646</v>
      </c>
      <c r="N195" s="275">
        <f>VLOOKUP(H195,Auxiliar!$B$16:$E$24,4,0)</f>
        <v>0</v>
      </c>
      <c r="O195" s="275">
        <f t="shared" ref="O195:O199" ca="1" si="51">IF(TODAY()&lt;=L195,0,MIN((TODAY()-L195)/(M195-L195+1),100%))</f>
        <v>0</v>
      </c>
      <c r="P195" s="274">
        <f t="shared" ca="1" si="34"/>
        <v>0</v>
      </c>
      <c r="Q195" s="283" t="s">
        <v>38</v>
      </c>
      <c r="R195" s="229"/>
      <c r="S195" s="232">
        <v>4.0999999999999996</v>
      </c>
      <c r="T195" s="223">
        <f t="shared" si="50"/>
        <v>0.5</v>
      </c>
      <c r="U195" s="223">
        <f>SUM(V195:CH195)-T195</f>
        <v>0</v>
      </c>
      <c r="V195" s="290"/>
      <c r="W195" s="236"/>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outlineLevel="1">
      <c r="A196" s="30" t="str">
        <f t="shared" si="43"/>
        <v>lt004_protectionflg_fin</v>
      </c>
      <c r="B196" s="142" t="s">
        <v>26</v>
      </c>
      <c r="C196" s="138" t="s">
        <v>26</v>
      </c>
      <c r="D196" s="252" t="s">
        <v>40</v>
      </c>
      <c r="E196" s="256" t="s">
        <v>369</v>
      </c>
      <c r="F196" s="256"/>
      <c r="G196" s="256" t="s">
        <v>481</v>
      </c>
      <c r="H196" s="254" t="str">
        <f>VLOOKUP(A196,'2. Status Detalhe Campos'!$A$7:$G$574,7,0)</f>
        <v>6. Em implementação (re-especificação)</v>
      </c>
      <c r="I196" s="228">
        <v>45593</v>
      </c>
      <c r="J196" s="234">
        <v>45624</v>
      </c>
      <c r="K196" s="228"/>
      <c r="L196" s="278">
        <f t="array" ref="L196">MIN(IF(V196:CH196&gt;0,$V$16:$CH$16))</f>
        <v>45646</v>
      </c>
      <c r="M196" s="277">
        <f t="array" ref="M196">MAX(IF(V196:CH196&gt;0,$V$16:$CH$16))</f>
        <v>45646</v>
      </c>
      <c r="N196" s="275">
        <f>VLOOKUP(H196,Auxiliar!$B$16:$E$24,4,0)</f>
        <v>0</v>
      </c>
      <c r="O196" s="275">
        <f t="shared" ca="1" si="51"/>
        <v>0</v>
      </c>
      <c r="P196" s="274">
        <f t="shared" ca="1" si="34"/>
        <v>0</v>
      </c>
      <c r="Q196" s="283" t="s">
        <v>38</v>
      </c>
      <c r="R196" s="229"/>
      <c r="S196" s="223">
        <v>4.0999999999999996</v>
      </c>
      <c r="T196" s="223">
        <f t="shared" si="50"/>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outlineLevel="1">
      <c r="A197" s="30" t="str">
        <f t="shared" si="43"/>
        <v>lt004_protectionflg_exec</v>
      </c>
      <c r="B197" s="142" t="s">
        <v>26</v>
      </c>
      <c r="C197" s="138" t="s">
        <v>26</v>
      </c>
      <c r="D197" s="252" t="s">
        <v>40</v>
      </c>
      <c r="E197" s="256" t="s">
        <v>369</v>
      </c>
      <c r="F197" s="256"/>
      <c r="G197" s="256" t="s">
        <v>1361</v>
      </c>
      <c r="H197" s="254" t="str">
        <f>VLOOKUP(A197,'2. Status Detalhe Campos'!$A$7:$G$574,7,0)</f>
        <v>6. Em implementação (re-especificação)</v>
      </c>
      <c r="I197" s="228">
        <v>45593</v>
      </c>
      <c r="J197" s="234">
        <v>45624</v>
      </c>
      <c r="K197" s="228"/>
      <c r="L197" s="278">
        <f t="array" ref="L197">MIN(IF(V197:CH197&gt;0,$V$16:$CH$16))</f>
        <v>45646</v>
      </c>
      <c r="M197" s="277">
        <f t="array" ref="M197">MAX(IF(V197:CH197&gt;0,$V$16:$CH$16))</f>
        <v>45646</v>
      </c>
      <c r="N197" s="275">
        <f>VLOOKUP(H197,Auxiliar!$B$16:$E$24,4,0)</f>
        <v>0</v>
      </c>
      <c r="O197" s="275">
        <f t="shared" ca="1" si="51"/>
        <v>0</v>
      </c>
      <c r="P197" s="274">
        <f t="shared" ca="1" si="34"/>
        <v>0</v>
      </c>
      <c r="Q197" s="283" t="s">
        <v>38</v>
      </c>
      <c r="R197" s="229"/>
      <c r="S197" s="223">
        <v>4.0999999999999996</v>
      </c>
      <c r="T197" s="223">
        <f t="shared" si="50"/>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outlineLevel="1">
      <c r="A198" s="30" t="str">
        <f t="shared" si="43"/>
        <v>lt004_protectionflg_col</v>
      </c>
      <c r="B198" s="142" t="s">
        <v>26</v>
      </c>
      <c r="C198" s="138" t="s">
        <v>26</v>
      </c>
      <c r="D198" s="252" t="s">
        <v>40</v>
      </c>
      <c r="E198" s="256" t="s">
        <v>369</v>
      </c>
      <c r="F198" s="256"/>
      <c r="G198" s="256" t="s">
        <v>480</v>
      </c>
      <c r="H198" s="254" t="str">
        <f>VLOOKUP(A198,'2. Status Detalhe Campos'!$A$7:$G$574,7,0)</f>
        <v>6. Em implementação (re-especificação)</v>
      </c>
      <c r="I198" s="228">
        <v>45593</v>
      </c>
      <c r="J198" s="234">
        <v>45624</v>
      </c>
      <c r="K198" s="228"/>
      <c r="L198" s="278">
        <f t="array" ref="L198">MIN(IF(V198:CH198&gt;0,$V$16:$CH$16))</f>
        <v>45646</v>
      </c>
      <c r="M198" s="277">
        <f t="array" ref="M198">MAX(IF(V198:CH198&gt;0,$V$16:$CH$16))</f>
        <v>45646</v>
      </c>
      <c r="N198" s="275">
        <f>VLOOKUP(H198,Auxiliar!$B$16:$E$24,4,0)</f>
        <v>0</v>
      </c>
      <c r="O198" s="275">
        <f t="shared" ca="1" si="51"/>
        <v>0</v>
      </c>
      <c r="P198" s="274">
        <f t="shared" ca="1" si="34"/>
        <v>0</v>
      </c>
      <c r="Q198" s="283" t="s">
        <v>38</v>
      </c>
      <c r="R198" s="229"/>
      <c r="S198" s="223">
        <v>4.0999999999999996</v>
      </c>
      <c r="T198" s="223">
        <f t="shared" si="50"/>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v>0.5</v>
      </c>
      <c r="BM198" s="79"/>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outlineLevel="1">
      <c r="A199" s="30" t="str">
        <f t="shared" si="43"/>
        <v>lt004_protectionflg_pro</v>
      </c>
      <c r="B199" s="142" t="s">
        <v>26</v>
      </c>
      <c r="C199" s="138" t="s">
        <v>26</v>
      </c>
      <c r="D199" s="252" t="s">
        <v>40</v>
      </c>
      <c r="E199" s="256" t="s">
        <v>369</v>
      </c>
      <c r="F199" s="256"/>
      <c r="G199" s="256" t="s">
        <v>482</v>
      </c>
      <c r="H199" s="254" t="str">
        <f>VLOOKUP(A199,'2. Status Detalhe Campos'!$A$7:$G$574,7,0)</f>
        <v>6. Em implementação (re-especificação)</v>
      </c>
      <c r="I199" s="228">
        <v>45593</v>
      </c>
      <c r="J199" s="234">
        <v>45624</v>
      </c>
      <c r="K199" s="228"/>
      <c r="L199" s="278">
        <f t="array" ref="L199">MIN(IF(V199:CH199&gt;0,$V$16:$CH$16))</f>
        <v>45649</v>
      </c>
      <c r="M199" s="277">
        <f t="array" ref="M199">MAX(IF(V199:CH199&gt;0,$V$16:$CH$16))</f>
        <v>45649</v>
      </c>
      <c r="N199" s="275">
        <f>VLOOKUP(H199,Auxiliar!$B$16:$E$24,4,0)</f>
        <v>0</v>
      </c>
      <c r="O199" s="275">
        <f t="shared" ca="1" si="51"/>
        <v>0</v>
      </c>
      <c r="P199" s="274">
        <f t="shared" ca="1" si="34"/>
        <v>0</v>
      </c>
      <c r="Q199" s="283" t="s">
        <v>38</v>
      </c>
      <c r="R199" s="229"/>
      <c r="S199" s="223">
        <v>4.0999999999999996</v>
      </c>
      <c r="T199" s="223">
        <f t="shared" si="50"/>
        <v>0.5</v>
      </c>
      <c r="U199" s="223">
        <f>SUM(V199:CH199)-T199</f>
        <v>0</v>
      </c>
      <c r="V199" s="79"/>
      <c r="W199" s="79"/>
      <c r="X199" s="79"/>
      <c r="Y199" s="79"/>
      <c r="Z199" s="79"/>
      <c r="AA199" s="79"/>
      <c r="AB199" s="79"/>
      <c r="AC199" s="92"/>
      <c r="AD199" s="79"/>
      <c r="AE199" s="79"/>
      <c r="AF199" s="79"/>
      <c r="AG199" s="79"/>
      <c r="AH199" s="79"/>
      <c r="AI199" s="79"/>
      <c r="AJ199" s="79"/>
      <c r="AK199" s="79"/>
      <c r="AL199" s="79"/>
      <c r="AM199" s="79"/>
      <c r="AN199" s="79"/>
      <c r="AO199" s="79"/>
      <c r="AP199" s="79"/>
      <c r="AQ199" s="79"/>
      <c r="AR199" s="79"/>
      <c r="AS199" s="79"/>
      <c r="AT199" s="79"/>
      <c r="AU199" s="79"/>
      <c r="AV199" s="230"/>
      <c r="AW199" s="79"/>
      <c r="AX199" s="79"/>
      <c r="AY199" s="79"/>
      <c r="AZ199" s="79"/>
      <c r="BA199" s="79"/>
      <c r="BB199" s="79"/>
      <c r="BC199" s="79"/>
      <c r="BD199" s="79"/>
      <c r="BE199" s="79"/>
      <c r="BF199" s="79"/>
      <c r="BG199" s="79"/>
      <c r="BH199" s="79"/>
      <c r="BI199" s="79"/>
      <c r="BJ199" s="79"/>
      <c r="BK199" s="79"/>
      <c r="BL199" s="79"/>
      <c r="BM199" s="79">
        <v>0.5</v>
      </c>
      <c r="BN199" s="92"/>
      <c r="BO199" s="92"/>
      <c r="BP199" s="92"/>
      <c r="BQ199" s="92"/>
      <c r="BR199" s="92"/>
      <c r="BS199" s="92"/>
      <c r="BT199" s="92"/>
      <c r="BU199" s="79"/>
      <c r="BV199" s="79"/>
      <c r="BW199" s="79"/>
      <c r="BX199" s="79"/>
      <c r="BY199" s="79"/>
      <c r="BZ199" s="79"/>
      <c r="CA199" s="79"/>
      <c r="CB199" s="79"/>
      <c r="CC199" s="79"/>
      <c r="CD199" s="79"/>
      <c r="CE199" s="79"/>
      <c r="CF199" s="79"/>
      <c r="CG199" s="79"/>
      <c r="CH199" s="79"/>
    </row>
    <row r="200" spans="1:86" ht="16.2">
      <c r="A200" s="30"/>
      <c r="B200" s="142" t="s">
        <v>26</v>
      </c>
      <c r="C200" s="138" t="s">
        <v>26</v>
      </c>
      <c r="D200" s="134"/>
      <c r="E200" s="262" t="s">
        <v>369</v>
      </c>
      <c r="F200" s="259" t="s">
        <v>2015</v>
      </c>
      <c r="G200" s="260">
        <f>COUNTA(G201)</f>
        <v>1</v>
      </c>
      <c r="H200" s="136"/>
      <c r="I200" s="339">
        <f>MIN(I201)</f>
        <v>45603</v>
      </c>
      <c r="J200" s="257">
        <f>MIN(J201:J205)</f>
        <v>45589</v>
      </c>
      <c r="K200" s="238"/>
      <c r="L200" s="257">
        <f>MIN(L201)</f>
        <v>45663</v>
      </c>
      <c r="M200" s="258">
        <f>MAX(M201)</f>
        <v>45663</v>
      </c>
      <c r="N200" s="279">
        <f>N201</f>
        <v>0</v>
      </c>
      <c r="O200" s="279">
        <f ca="1">O201</f>
        <v>0</v>
      </c>
      <c r="P200" s="274">
        <f t="shared" ca="1" si="34"/>
        <v>0</v>
      </c>
      <c r="Q200" s="283" t="s">
        <v>2019</v>
      </c>
      <c r="R200" s="229"/>
      <c r="S200" s="223"/>
      <c r="T200" s="223"/>
      <c r="U200" s="223"/>
      <c r="V200" s="79"/>
      <c r="W200" s="79"/>
      <c r="X200" s="79"/>
      <c r="Y200" s="79"/>
      <c r="Z200" s="79"/>
      <c r="AA200" s="79"/>
      <c r="AB200" s="79"/>
      <c r="AC200" s="92"/>
      <c r="AD200" s="79"/>
      <c r="AE200" s="79"/>
      <c r="AF200" s="79"/>
      <c r="AG200" s="236"/>
      <c r="AH200" s="79"/>
      <c r="AI200" s="79"/>
      <c r="AJ200" s="79"/>
      <c r="AK200" s="79"/>
      <c r="AL200" s="79"/>
      <c r="AM200" s="79"/>
      <c r="AN200" s="79"/>
      <c r="AO200" s="79"/>
      <c r="AP200" s="79"/>
      <c r="AQ200" s="79"/>
      <c r="AR200" s="79"/>
      <c r="AS200" s="79"/>
      <c r="AT200" s="79"/>
      <c r="AU200" s="79"/>
      <c r="AV200" s="230"/>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c r="BX200" s="264"/>
      <c r="BY200" s="79"/>
      <c r="BZ200" s="79"/>
      <c r="CA200" s="79"/>
      <c r="CB200" s="79"/>
      <c r="CC200" s="79"/>
      <c r="CD200" s="79"/>
      <c r="CE200" s="79"/>
      <c r="CF200" s="79"/>
      <c r="CG200" s="79"/>
      <c r="CH200" s="79"/>
    </row>
    <row r="201" spans="1:86" ht="16.2" outlineLevel="1">
      <c r="A201" s="30" t="str">
        <f>E201&amp;G201</f>
        <v>lt004_protectiontyp_prtctn</v>
      </c>
      <c r="B201" s="142" t="s">
        <v>26</v>
      </c>
      <c r="C201" s="138" t="s">
        <v>26</v>
      </c>
      <c r="D201" s="252" t="s">
        <v>40</v>
      </c>
      <c r="E201" s="256" t="s">
        <v>369</v>
      </c>
      <c r="F201" s="256"/>
      <c r="G201" s="256" t="s">
        <v>437</v>
      </c>
      <c r="H201" s="254" t="str">
        <f>VLOOKUP(A201,'2. Status Detalhe Campos'!$A$7:$G$574,7,0)</f>
        <v>6. Em implementação (re-especificação)</v>
      </c>
      <c r="I201" s="338">
        <v>45603</v>
      </c>
      <c r="J201" s="338">
        <v>45624</v>
      </c>
      <c r="K201" s="238"/>
      <c r="L201" s="278">
        <f t="array" ref="L201">MIN(IF(V201:CH201&gt;0,$V$16:$CH$16))</f>
        <v>45663</v>
      </c>
      <c r="M201" s="277">
        <f t="array" ref="M201">MAX(IF(V201:CH201&gt;0,$V$16:$CH$16))</f>
        <v>45663</v>
      </c>
      <c r="N201" s="275">
        <f>VLOOKUP(H201,Auxiliar!$B$16:$E$24,4,0)</f>
        <v>0</v>
      </c>
      <c r="O201" s="275">
        <f t="shared" ref="O201" ca="1" si="52">IF(TODAY()&lt;=L201,0,MIN((TODAY()-L201)/(M201-L201+1),100%))</f>
        <v>0</v>
      </c>
      <c r="P201" s="274">
        <f t="shared" ca="1" si="34"/>
        <v>0</v>
      </c>
      <c r="Q201" s="283" t="s">
        <v>38</v>
      </c>
      <c r="R201" s="229"/>
      <c r="S201" s="232">
        <v>4.0999999999999996</v>
      </c>
      <c r="T201" s="223">
        <f>ROUND(S201/8,1)</f>
        <v>0.5</v>
      </c>
      <c r="U201" s="223">
        <f>SUM(V201:CH201)-T201</f>
        <v>0</v>
      </c>
      <c r="V201" s="79"/>
      <c r="W201" s="79"/>
      <c r="X201" s="79"/>
      <c r="Y201" s="79"/>
      <c r="Z201" s="79"/>
      <c r="AA201" s="290"/>
      <c r="AB201" s="79"/>
      <c r="AC201" s="92"/>
      <c r="AD201" s="79"/>
      <c r="AE201" s="79"/>
      <c r="AF201" s="79"/>
      <c r="AG201" s="236"/>
      <c r="AH201" s="79"/>
      <c r="AI201" s="79"/>
      <c r="AJ201" s="79"/>
      <c r="AK201" s="79"/>
      <c r="AL201" s="79"/>
      <c r="AM201" s="79"/>
      <c r="AN201" s="79"/>
      <c r="AO201" s="79"/>
      <c r="AP201" s="79"/>
      <c r="AQ201" s="79"/>
      <c r="AR201" s="79"/>
      <c r="AS201" s="79"/>
      <c r="AT201" s="79"/>
      <c r="AU201" s="79"/>
      <c r="AV201" s="230"/>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v>0.5</v>
      </c>
      <c r="BX201" s="79"/>
      <c r="BY201" s="79"/>
      <c r="BZ201" s="79"/>
      <c r="CA201" s="79"/>
      <c r="CB201" s="79"/>
      <c r="CC201" s="79"/>
      <c r="CD201" s="79"/>
      <c r="CE201" s="79"/>
      <c r="CF201" s="79"/>
      <c r="CG201" s="79"/>
      <c r="CH201" s="79"/>
    </row>
    <row r="202" spans="1:86" ht="16.2">
      <c r="A202" s="30"/>
      <c r="B202" s="142" t="s">
        <v>26</v>
      </c>
      <c r="C202" s="138" t="s">
        <v>26</v>
      </c>
      <c r="D202" s="134"/>
      <c r="E202" s="333" t="s">
        <v>380</v>
      </c>
      <c r="F202" s="334" t="s">
        <v>1981</v>
      </c>
      <c r="G202" s="335">
        <f>COUNTA(G203)</f>
        <v>1</v>
      </c>
      <c r="H202" s="136"/>
      <c r="I202" s="258">
        <f>MAX(I203)</f>
        <v>45583</v>
      </c>
      <c r="J202" s="257">
        <f>MIN(J203)</f>
        <v>45589</v>
      </c>
      <c r="K202" s="257">
        <f>MIN(K203)</f>
        <v>45589</v>
      </c>
      <c r="L202" s="257">
        <f>MIN(L203)</f>
        <v>45593</v>
      </c>
      <c r="M202" s="258">
        <f>MAX(M203)</f>
        <v>45593</v>
      </c>
      <c r="N202" s="279">
        <f>N203</f>
        <v>1</v>
      </c>
      <c r="O202" s="279">
        <f ca="1">O203</f>
        <v>1</v>
      </c>
      <c r="P202" s="274">
        <f t="shared" ca="1" si="34"/>
        <v>0</v>
      </c>
      <c r="Q202" s="283" t="s">
        <v>38</v>
      </c>
      <c r="R202" s="229"/>
      <c r="S202" s="223"/>
      <c r="T202" s="223"/>
      <c r="U202" s="223"/>
      <c r="V202" s="79"/>
      <c r="W202" s="226"/>
      <c r="X202" s="79"/>
      <c r="Y202" s="264"/>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outlineLevel="1">
      <c r="A203" s="30" t="str">
        <f>E203&amp;G203</f>
        <v>lt002_instrumentlns_clltrlzd_clssfctn</v>
      </c>
      <c r="B203" s="142" t="s">
        <v>26</v>
      </c>
      <c r="C203" s="138" t="s">
        <v>26</v>
      </c>
      <c r="D203" s="252" t="s">
        <v>40</v>
      </c>
      <c r="E203" s="256" t="s">
        <v>380</v>
      </c>
      <c r="F203" s="256"/>
      <c r="G203" s="256" t="s">
        <v>385</v>
      </c>
      <c r="H203" s="254" t="str">
        <f>VLOOKUP(A203,'2. Status Detalhe Campos'!$A$7:$G$574,7,0)</f>
        <v>1. Concluído</v>
      </c>
      <c r="I203" s="228">
        <v>45583</v>
      </c>
      <c r="J203" s="153">
        <v>45589</v>
      </c>
      <c r="K203" s="153">
        <v>45589</v>
      </c>
      <c r="L203" s="278">
        <f t="array" ref="L203">MIN(IF(V203:CH203&gt;0,$V$16:$CH$16))</f>
        <v>45593</v>
      </c>
      <c r="M203" s="277">
        <f t="array" ref="M203">MAX(IF(V203:CH203&gt;0,$V$16:$CH$16))</f>
        <v>45593</v>
      </c>
      <c r="N203" s="275">
        <f>VLOOKUP(H203,Auxiliar!$B$16:$E$24,4,0)</f>
        <v>1</v>
      </c>
      <c r="O203" s="275">
        <f t="shared" ref="O203" ca="1" si="53">IF(TODAY()&lt;=L203,0,MIN((TODAY()-L203)/(M203-L203+1),100%))</f>
        <v>1</v>
      </c>
      <c r="P203" s="274">
        <f t="shared" ca="1" si="34"/>
        <v>0</v>
      </c>
      <c r="Q203" s="283" t="s">
        <v>38</v>
      </c>
      <c r="R203" s="229"/>
      <c r="S203" s="223">
        <v>4.0999999999999996</v>
      </c>
      <c r="T203" s="223">
        <f>ROUND(S203/8,1)</f>
        <v>0.5</v>
      </c>
      <c r="U203" s="223">
        <f>SUM(V203:CH203)-T203</f>
        <v>0</v>
      </c>
      <c r="V203" s="79"/>
      <c r="W203" s="226"/>
      <c r="X203" s="79"/>
      <c r="Y203" s="79">
        <v>0.5</v>
      </c>
      <c r="Z203" s="79"/>
      <c r="AA203" s="79"/>
      <c r="AB203" s="79"/>
      <c r="AC203" s="92"/>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c r="A204" s="30"/>
      <c r="B204" s="142" t="s">
        <v>26</v>
      </c>
      <c r="C204" s="138" t="s">
        <v>26</v>
      </c>
      <c r="D204" s="134"/>
      <c r="E204" s="262" t="s">
        <v>380</v>
      </c>
      <c r="F204" s="259" t="s">
        <v>2002</v>
      </c>
      <c r="G204" s="260">
        <f>COUNTA(G205:G206)</f>
        <v>2</v>
      </c>
      <c r="H204" s="136"/>
      <c r="I204" s="258">
        <f>MAX(I205:I206)</f>
        <v>45595</v>
      </c>
      <c r="J204" s="257">
        <f>MIN(J205:J206)</f>
        <v>45611</v>
      </c>
      <c r="K204" s="257"/>
      <c r="L204" s="257">
        <f>MIN(L205:L206)</f>
        <v>45614</v>
      </c>
      <c r="M204" s="258">
        <f>MAX(M205:M206)</f>
        <v>45621</v>
      </c>
      <c r="N204" s="279">
        <f>SUMPRODUCT(N205:N206,T205:T206)/SUM(T205:T206)</f>
        <v>0.25</v>
      </c>
      <c r="O204" s="279">
        <f ca="1">SUMPRODUCT(O205:O206,T205:T206)/SUM(T205:T206)</f>
        <v>0.5</v>
      </c>
      <c r="P204" s="343">
        <f t="shared" ca="1" si="34"/>
        <v>-0.25</v>
      </c>
      <c r="Q204" s="283" t="s">
        <v>2030</v>
      </c>
      <c r="R204" s="229"/>
      <c r="S204" s="223"/>
      <c r="T204" s="223"/>
      <c r="U204" s="223"/>
      <c r="V204" s="79"/>
      <c r="W204" s="79"/>
      <c r="X204" s="79"/>
      <c r="Y204" s="79"/>
      <c r="Z204" s="79"/>
      <c r="AA204" s="79"/>
      <c r="AB204" s="79"/>
      <c r="AC204" s="92"/>
      <c r="AD204" s="79"/>
      <c r="AE204" s="79"/>
      <c r="AF204" s="79"/>
      <c r="AG204" s="79"/>
      <c r="AH204" s="79"/>
      <c r="AI204" s="79"/>
      <c r="AJ204" s="79"/>
      <c r="AK204" s="79"/>
      <c r="AL204" s="79"/>
      <c r="AM204" s="226"/>
      <c r="AN204" s="79"/>
      <c r="AO204" s="79"/>
      <c r="AP204" s="79"/>
      <c r="AQ204" s="79"/>
      <c r="AR204" s="79"/>
      <c r="AS204" s="79"/>
      <c r="AT204" s="79"/>
      <c r="AU204" s="79"/>
      <c r="AV204" s="79"/>
      <c r="AW204" s="264"/>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outlineLevel="1">
      <c r="A205" s="30" t="str">
        <f t="shared" ref="A205:A219" si="54">E205&amp;G205</f>
        <v>lt002_instrumentrsk_mtgtd_cct</v>
      </c>
      <c r="B205" s="142" t="s">
        <v>26</v>
      </c>
      <c r="C205" s="138" t="s">
        <v>26</v>
      </c>
      <c r="D205" s="252" t="s">
        <v>40</v>
      </c>
      <c r="E205" s="256" t="s">
        <v>380</v>
      </c>
      <c r="F205" s="256"/>
      <c r="G205" s="256" t="s">
        <v>381</v>
      </c>
      <c r="H205" s="254" t="str">
        <f>VLOOKUP(A205,'2. Status Detalhe Campos'!$A$7:$G$574,7,0)</f>
        <v>2.1 Em Teste</v>
      </c>
      <c r="I205" s="153">
        <v>45595</v>
      </c>
      <c r="J205" s="234">
        <v>45611</v>
      </c>
      <c r="K205" s="297">
        <v>45611</v>
      </c>
      <c r="L205" s="278">
        <f t="array" ref="L205">MIN(IF(V205:CH205&gt;0,$V$16:$CH$16))</f>
        <v>45621</v>
      </c>
      <c r="M205" s="277">
        <f t="array" ref="M205">MAX(IF(V205:CH205&gt;0,$V$16:$CH$16))</f>
        <v>45621</v>
      </c>
      <c r="N205" s="275">
        <f>VLOOKUP(H205,Auxiliar!$B$16:$E$24,4,0)</f>
        <v>0.25</v>
      </c>
      <c r="O205" s="275">
        <f t="shared" ref="O205:O206" ca="1" si="55">IF(TODAY()&lt;=L205,0,MIN((TODAY()-L205)/(M205-L205+1),100%))</f>
        <v>0</v>
      </c>
      <c r="P205" s="274">
        <f t="shared" ca="1" si="34"/>
        <v>0.25</v>
      </c>
      <c r="Q205" s="283" t="s">
        <v>38</v>
      </c>
      <c r="R205" s="229"/>
      <c r="S205" s="223">
        <v>4.0999999999999996</v>
      </c>
      <c r="T205" s="223">
        <f t="shared" si="40"/>
        <v>0.5</v>
      </c>
      <c r="U205" s="223">
        <f>SUM(V205:CH205)-T205</f>
        <v>0</v>
      </c>
      <c r="V205" s="79"/>
      <c r="W205" s="79"/>
      <c r="X205" s="79"/>
      <c r="Y205" s="79"/>
      <c r="Z205" s="79"/>
      <c r="AA205" s="236"/>
      <c r="AB205" s="79"/>
      <c r="AC205" s="92"/>
      <c r="AD205" s="79"/>
      <c r="AE205" s="79"/>
      <c r="AF205" s="79"/>
      <c r="AG205" s="79"/>
      <c r="AH205" s="79"/>
      <c r="AI205" s="79"/>
      <c r="AJ205" s="79"/>
      <c r="AK205" s="79"/>
      <c r="AL205" s="79"/>
      <c r="AM205" s="226"/>
      <c r="AN205" s="79"/>
      <c r="AO205" s="79"/>
      <c r="AP205" s="79"/>
      <c r="AQ205" s="79"/>
      <c r="AR205" s="79"/>
      <c r="AS205" s="79">
        <v>0.5</v>
      </c>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outlineLevel="1">
      <c r="A206" s="30" t="str">
        <f>E206&amp;G206</f>
        <v>lt002_instrumentsstnbl_ctgry_txnmy</v>
      </c>
      <c r="B206" s="142" t="s">
        <v>26</v>
      </c>
      <c r="C206" s="138" t="s">
        <v>26</v>
      </c>
      <c r="D206" s="252" t="s">
        <v>40</v>
      </c>
      <c r="E206" s="256" t="s">
        <v>380</v>
      </c>
      <c r="F206" s="256"/>
      <c r="G206" s="256" t="s">
        <v>389</v>
      </c>
      <c r="H206" s="254" t="str">
        <f>VLOOKUP(A206,'2. Status Detalhe Campos'!$A$7:$G$574,7,0)</f>
        <v>2.1 Em Teste</v>
      </c>
      <c r="I206" s="153">
        <v>45590</v>
      </c>
      <c r="J206" s="234">
        <v>45611</v>
      </c>
      <c r="K206" s="297">
        <v>45611</v>
      </c>
      <c r="L206" s="278">
        <f t="array" ref="L206">MIN(IF(V206:CH206&gt;0,$V$16:$CH$16))</f>
        <v>45614</v>
      </c>
      <c r="M206" s="277">
        <f t="array" ref="M206">MAX(IF(V206:CH206&gt;0,$V$16:$CH$16))</f>
        <v>45614</v>
      </c>
      <c r="N206" s="275">
        <f>VLOOKUP(H206,Auxiliar!$B$16:$E$24,4,0)</f>
        <v>0.25</v>
      </c>
      <c r="O206" s="275">
        <f t="shared" ca="1" si="55"/>
        <v>1</v>
      </c>
      <c r="P206" s="274">
        <f t="shared" ca="1" si="34"/>
        <v>-0.75</v>
      </c>
      <c r="Q206" s="283" t="s">
        <v>38</v>
      </c>
      <c r="R206" s="229"/>
      <c r="S206" s="223">
        <v>4.0999999999999996</v>
      </c>
      <c r="T206" s="223">
        <f>ROUND(S206/8,1)</f>
        <v>0.5</v>
      </c>
      <c r="U206" s="223">
        <f>SUM(V206:CH206)-T206</f>
        <v>0</v>
      </c>
      <c r="V206" s="79"/>
      <c r="W206" s="79"/>
      <c r="X206" s="290"/>
      <c r="Y206" s="236"/>
      <c r="Z206" s="79"/>
      <c r="AA206" s="236"/>
      <c r="AB206" s="79"/>
      <c r="AC206" s="92"/>
      <c r="AD206" s="79"/>
      <c r="AE206" s="79"/>
      <c r="AF206" s="79"/>
      <c r="AG206" s="79"/>
      <c r="AH206" s="79"/>
      <c r="AI206" s="79"/>
      <c r="AJ206" s="79"/>
      <c r="AK206" s="79"/>
      <c r="AL206" s="79"/>
      <c r="AM206" s="226"/>
      <c r="AN206" s="79">
        <v>0.5</v>
      </c>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c r="A207" s="30"/>
      <c r="B207" s="142" t="s">
        <v>26</v>
      </c>
      <c r="C207" s="138" t="s">
        <v>26</v>
      </c>
      <c r="D207" s="134"/>
      <c r="E207" s="262" t="s">
        <v>380</v>
      </c>
      <c r="F207" s="259" t="s">
        <v>2005</v>
      </c>
      <c r="G207" s="260">
        <f>COUNTA(G208:G210)</f>
        <v>3</v>
      </c>
      <c r="H207" s="136"/>
      <c r="I207" s="339">
        <f>MAX(I208:I210)</f>
        <v>45603</v>
      </c>
      <c r="J207" s="261">
        <f>MIN(J208:J210)</f>
        <v>45611</v>
      </c>
      <c r="K207" s="261">
        <f>MIN(K208:K210)</f>
        <v>45611</v>
      </c>
      <c r="L207" s="258">
        <f>MIN(L208:L210)</f>
        <v>45642</v>
      </c>
      <c r="M207" s="258">
        <f>MAX(M208:M210)</f>
        <v>45643</v>
      </c>
      <c r="N207" s="279">
        <f>SUMPRODUCT(N208:N210,T208:T210)/SUM(T208:T210)</f>
        <v>0.25</v>
      </c>
      <c r="O207" s="279">
        <f ca="1">SUMPRODUCT(O208:O210,T208:T210)/SUM(T208:T210)</f>
        <v>0</v>
      </c>
      <c r="P207" s="274">
        <f t="shared" ca="1" si="34"/>
        <v>0.25</v>
      </c>
      <c r="Q207" s="283" t="s">
        <v>2020</v>
      </c>
      <c r="R207" s="229"/>
      <c r="S207" s="223"/>
      <c r="T207" s="223"/>
      <c r="U207" s="223"/>
      <c r="V207" s="79"/>
      <c r="W207" s="79"/>
      <c r="X207" s="79"/>
      <c r="Y207" s="290"/>
      <c r="Z207" s="79"/>
      <c r="AA207" s="236"/>
      <c r="AB207" s="79"/>
      <c r="AC207" s="92"/>
      <c r="AD207" s="79"/>
      <c r="AE207" s="79"/>
      <c r="AF207" s="79"/>
      <c r="AG207" s="236"/>
      <c r="AH207" s="79"/>
      <c r="AI207" s="79"/>
      <c r="AJ207" s="79"/>
      <c r="AK207" s="79"/>
      <c r="AL207" s="79"/>
      <c r="AM207" s="226"/>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outlineLevel="1">
      <c r="A208" s="30" t="str">
        <f>E208&amp;G208</f>
        <v>lt002_instrumentmthd_usd_instrmnt_scp_1</v>
      </c>
      <c r="B208" s="142" t="s">
        <v>26</v>
      </c>
      <c r="C208" s="138" t="s">
        <v>26</v>
      </c>
      <c r="D208" s="252" t="s">
        <v>40</v>
      </c>
      <c r="E208" s="256" t="s">
        <v>380</v>
      </c>
      <c r="F208" s="256"/>
      <c r="G208" s="256" t="s">
        <v>386</v>
      </c>
      <c r="H208" s="254" t="str">
        <f>VLOOKUP(A208,'2. Status Detalhe Campos'!$A$7:$G$574,7,0)</f>
        <v>2.1 Em Teste</v>
      </c>
      <c r="I208" s="239">
        <v>45603</v>
      </c>
      <c r="J208" s="237">
        <v>45611</v>
      </c>
      <c r="K208" s="237">
        <v>45611</v>
      </c>
      <c r="L208" s="278">
        <f t="array" ref="L208">MIN(IF(V208:CH208&gt;0,$V$16:$CH$16))</f>
        <v>45642</v>
      </c>
      <c r="M208" s="277">
        <f t="array" ref="M208">MAX(IF(V208:CH208&gt;0,$V$16:$CH$16))</f>
        <v>45642</v>
      </c>
      <c r="N208" s="275">
        <f>VLOOKUP(H208,Auxiliar!$B$16:$E$24,4,0)</f>
        <v>0.25</v>
      </c>
      <c r="O208" s="275">
        <f t="shared" ref="O208:O210" ca="1" si="56">IF(TODAY()&lt;=L208,0,MIN((TODAY()-L208)/(M208-L208+1),100%))</f>
        <v>0</v>
      </c>
      <c r="P208" s="274">
        <f t="shared" ca="1" si="34"/>
        <v>0.25</v>
      </c>
      <c r="Q208" s="274"/>
      <c r="R208" s="229"/>
      <c r="S208" s="223">
        <v>4.0999999999999996</v>
      </c>
      <c r="T208" s="223">
        <f>ROUND(S208/8,1)</f>
        <v>0.5</v>
      </c>
      <c r="U208" s="223">
        <f>SUM(V208:CH208)-T208</f>
        <v>0</v>
      </c>
      <c r="V208" s="79"/>
      <c r="W208" s="79"/>
      <c r="X208" s="79"/>
      <c r="Y208" s="290"/>
      <c r="Z208" s="79"/>
      <c r="AA208" s="236"/>
      <c r="AB208" s="79"/>
      <c r="AC208" s="92"/>
      <c r="AD208" s="79"/>
      <c r="AE208" s="79"/>
      <c r="AF208" s="79"/>
      <c r="AG208" s="236"/>
      <c r="AH208" s="79"/>
      <c r="AI208" s="79"/>
      <c r="AJ208" s="79"/>
      <c r="AK208" s="79"/>
      <c r="AL208" s="79"/>
      <c r="AM208" s="226"/>
      <c r="AN208" s="79"/>
      <c r="AO208" s="79"/>
      <c r="AP208" s="79"/>
      <c r="AQ208" s="79"/>
      <c r="AR208" s="79"/>
      <c r="AS208" s="79"/>
      <c r="AT208" s="79"/>
      <c r="AU208" s="79"/>
      <c r="AV208" s="79"/>
      <c r="AW208" s="79"/>
      <c r="AX208" s="79"/>
      <c r="AY208" s="79"/>
      <c r="AZ208" s="79"/>
      <c r="BA208" s="79"/>
      <c r="BB208" s="79"/>
      <c r="BC208" s="79"/>
      <c r="BD208" s="79"/>
      <c r="BE208" s="79"/>
      <c r="BF208" s="79"/>
      <c r="BG208" s="79"/>
      <c r="BH208" s="79">
        <v>0.5</v>
      </c>
      <c r="BI208" s="79"/>
      <c r="BJ208" s="79"/>
      <c r="BK208" s="79"/>
      <c r="BL208" s="264"/>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outlineLevel="1">
      <c r="A209" s="30" t="str">
        <f>E209&amp;G209</f>
        <v>lt002_instrumentmthd_usd_instrmnt_scp_2</v>
      </c>
      <c r="B209" s="142" t="s">
        <v>26</v>
      </c>
      <c r="C209" s="138" t="s">
        <v>26</v>
      </c>
      <c r="D209" s="252" t="s">
        <v>40</v>
      </c>
      <c r="E209" s="256" t="s">
        <v>380</v>
      </c>
      <c r="F209" s="256"/>
      <c r="G209" s="256" t="s">
        <v>387</v>
      </c>
      <c r="H209" s="254" t="str">
        <f>VLOOKUP(A209,'2. Status Detalhe Campos'!$A$7:$G$574,7,0)</f>
        <v>2.1 Em Teste</v>
      </c>
      <c r="I209" s="239">
        <v>45603</v>
      </c>
      <c r="J209" s="237">
        <v>45611</v>
      </c>
      <c r="K209" s="237">
        <v>45611</v>
      </c>
      <c r="L209" s="278">
        <f t="array" ref="L209">MIN(IF(V209:CH209&gt;0,$V$16:$CH$16))</f>
        <v>45643</v>
      </c>
      <c r="M209" s="277">
        <f t="array" ref="M209">MAX(IF(V209:CH209&gt;0,$V$16:$CH$16))</f>
        <v>45643</v>
      </c>
      <c r="N209" s="275">
        <f>VLOOKUP(H209,Auxiliar!$B$16:$E$24,4,0)</f>
        <v>0.25</v>
      </c>
      <c r="O209" s="275">
        <f t="shared" ca="1" si="56"/>
        <v>0</v>
      </c>
      <c r="P209" s="274">
        <f t="shared" ca="1" si="34"/>
        <v>0.25</v>
      </c>
      <c r="Q209" s="274"/>
      <c r="R209" s="229"/>
      <c r="S209" s="223">
        <v>4.0999999999999996</v>
      </c>
      <c r="T209" s="223">
        <f>ROUND(S209/8,1)</f>
        <v>0.5</v>
      </c>
      <c r="U209" s="223">
        <f>SUM(V209:CH209)-T209</f>
        <v>0</v>
      </c>
      <c r="V209" s="79"/>
      <c r="W209" s="79"/>
      <c r="X209" s="79"/>
      <c r="Y209" s="290"/>
      <c r="Z209" s="79"/>
      <c r="AA209" s="236"/>
      <c r="AB209" s="79"/>
      <c r="AC209" s="92"/>
      <c r="AD209" s="79"/>
      <c r="AE209" s="79"/>
      <c r="AF209" s="79"/>
      <c r="AG209" s="236"/>
      <c r="AH209" s="79"/>
      <c r="AI209" s="79"/>
      <c r="AJ209" s="79"/>
      <c r="AK209" s="79"/>
      <c r="AL209" s="79"/>
      <c r="AM209" s="226"/>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outlineLevel="1">
      <c r="A210" s="30" t="str">
        <f>E210&amp;G210</f>
        <v>lt002_instrumentmthd_usd_instrmnt_scp_3</v>
      </c>
      <c r="B210" s="142" t="s">
        <v>26</v>
      </c>
      <c r="C210" s="138" t="s">
        <v>26</v>
      </c>
      <c r="D210" s="252" t="s">
        <v>40</v>
      </c>
      <c r="E210" s="256" t="s">
        <v>380</v>
      </c>
      <c r="F210" s="256"/>
      <c r="G210" s="256" t="s">
        <v>388</v>
      </c>
      <c r="H210" s="254" t="str">
        <f>VLOOKUP(A210,'2. Status Detalhe Campos'!$A$7:$G$574,7,0)</f>
        <v>2.1 Em Teste</v>
      </c>
      <c r="I210" s="239">
        <v>45603</v>
      </c>
      <c r="J210" s="237">
        <v>45611</v>
      </c>
      <c r="K210" s="237">
        <v>45611</v>
      </c>
      <c r="L210" s="278">
        <f t="array" ref="L210">MIN(IF(V210:CH210&gt;0,$V$16:$CH$16))</f>
        <v>45643</v>
      </c>
      <c r="M210" s="277">
        <f t="array" ref="M210">MAX(IF(V210:CH210&gt;0,$V$16:$CH$16))</f>
        <v>45643</v>
      </c>
      <c r="N210" s="275">
        <f>VLOOKUP(H210,Auxiliar!$B$16:$E$24,4,0)</f>
        <v>0.25</v>
      </c>
      <c r="O210" s="275">
        <f t="shared" ca="1" si="56"/>
        <v>0</v>
      </c>
      <c r="P210" s="274">
        <f t="shared" ca="1" si="34"/>
        <v>0.25</v>
      </c>
      <c r="Q210" s="274"/>
      <c r="R210" s="229"/>
      <c r="S210" s="223">
        <v>4.0999999999999996</v>
      </c>
      <c r="T210" s="223">
        <f>ROUND(S210/8,1)</f>
        <v>0.5</v>
      </c>
      <c r="U210" s="223">
        <f>SUM(V210:CH210)-T210</f>
        <v>0</v>
      </c>
      <c r="V210" s="79"/>
      <c r="W210" s="79"/>
      <c r="X210" s="79"/>
      <c r="Y210" s="290"/>
      <c r="Z210" s="79"/>
      <c r="AA210" s="236"/>
      <c r="AB210" s="79"/>
      <c r="AC210" s="92"/>
      <c r="AD210" s="79"/>
      <c r="AE210" s="79"/>
      <c r="AF210" s="79"/>
      <c r="AG210" s="236"/>
      <c r="AH210" s="79"/>
      <c r="AI210" s="79"/>
      <c r="AJ210" s="79"/>
      <c r="AK210" s="79"/>
      <c r="AL210" s="79"/>
      <c r="AM210" s="226"/>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v>0.5</v>
      </c>
      <c r="BJ210" s="79"/>
      <c r="BK210" s="79"/>
      <c r="BL210" s="79"/>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c r="A211" s="30"/>
      <c r="B211" s="142" t="s">
        <v>26</v>
      </c>
      <c r="C211" s="138" t="s">
        <v>26</v>
      </c>
      <c r="D211" s="134"/>
      <c r="E211" s="262" t="s">
        <v>380</v>
      </c>
      <c r="F211" s="259" t="s">
        <v>2003</v>
      </c>
      <c r="G211" s="260">
        <f>COUNTA(G212:G215)</f>
        <v>4</v>
      </c>
      <c r="H211" s="136"/>
      <c r="I211" s="258">
        <f>MAX(I212)</f>
        <v>45595</v>
      </c>
      <c r="J211" s="257">
        <f>MIN(J212)</f>
        <v>45624</v>
      </c>
      <c r="K211" s="257"/>
      <c r="L211" s="257">
        <f>MIN(L212)</f>
        <v>45645</v>
      </c>
      <c r="M211" s="258">
        <f>MAX(M212)</f>
        <v>45645</v>
      </c>
      <c r="N211" s="279">
        <f>SUMPRODUCT(N212:N215,T212:T215)/SUM(T212:T215)</f>
        <v>0</v>
      </c>
      <c r="O211" s="279">
        <f ca="1">SUMPRODUCT(O212:O215,T212:T215)/SUM(T212:T215)</f>
        <v>0.8</v>
      </c>
      <c r="P211" s="343">
        <f t="shared" ref="P211:P237" ca="1" si="57">N211-O211</f>
        <v>-0.8</v>
      </c>
      <c r="Q211" s="283" t="s">
        <v>2029</v>
      </c>
      <c r="R211" s="229"/>
      <c r="S211" s="223"/>
      <c r="T211" s="223"/>
      <c r="U211" s="223"/>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264"/>
      <c r="AS211" s="79"/>
      <c r="AT211" s="79"/>
      <c r="AU211" s="79"/>
      <c r="AV211" s="230"/>
      <c r="AW211" s="79"/>
      <c r="AX211" s="79"/>
      <c r="AY211" s="79"/>
      <c r="AZ211" s="79"/>
      <c r="BA211" s="79"/>
      <c r="BB211" s="79"/>
      <c r="BC211" s="79"/>
      <c r="BD211" s="79"/>
      <c r="BE211" s="79"/>
      <c r="BF211" s="79"/>
      <c r="BG211" s="79"/>
      <c r="BH211" s="79"/>
      <c r="BI211" s="79"/>
      <c r="BJ211" s="79"/>
      <c r="BK211" s="79"/>
      <c r="BL211" s="264"/>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outlineLevel="1">
      <c r="A212" s="30" t="str">
        <f>E212&amp;G212</f>
        <v>lt002_instrumentrsk_mtgtd_ccp</v>
      </c>
      <c r="B212" s="142" t="s">
        <v>26</v>
      </c>
      <c r="C212" s="138" t="s">
        <v>26</v>
      </c>
      <c r="D212" s="252" t="s">
        <v>40</v>
      </c>
      <c r="E212" s="256" t="s">
        <v>380</v>
      </c>
      <c r="F212" s="256"/>
      <c r="G212" s="256" t="s">
        <v>382</v>
      </c>
      <c r="H212" s="254" t="str">
        <f>VLOOKUP(A212,'2. Status Detalhe Campos'!$A$7:$G$574,7,0)</f>
        <v>6. Em implementação (re-especificação)</v>
      </c>
      <c r="I212" s="153">
        <v>45595</v>
      </c>
      <c r="J212" s="234">
        <v>45624</v>
      </c>
      <c r="K212" s="228"/>
      <c r="L212" s="278">
        <f t="array" ref="L212">MIN(IF(V212:CH212&gt;0,$V$16:$CH$16))</f>
        <v>45645</v>
      </c>
      <c r="M212" s="277">
        <f t="array" ref="M212">MAX(IF(V212:CH212&gt;0,$V$16:$CH$16))</f>
        <v>45645</v>
      </c>
      <c r="N212" s="275">
        <f>VLOOKUP(H212,Auxiliar!$B$16:$E$24,4,0)</f>
        <v>0</v>
      </c>
      <c r="O212" s="275">
        <f t="shared" ref="O212:O219" ca="1" si="58">IF(TODAY()&lt;=L212,0,MIN((TODAY()-L212)/(M212-L212+1),100%))</f>
        <v>0</v>
      </c>
      <c r="P212" s="275">
        <f t="shared" ca="1" si="57"/>
        <v>0</v>
      </c>
      <c r="Q212" s="274"/>
      <c r="R212" s="229"/>
      <c r="S212" s="223">
        <v>4.0999999999999996</v>
      </c>
      <c r="T212" s="223">
        <f>ROUND(S212/8,1)</f>
        <v>0.5</v>
      </c>
      <c r="U212" s="223">
        <f>SUM(V212:CH212)-T212</f>
        <v>0</v>
      </c>
      <c r="V212" s="79"/>
      <c r="W212" s="79"/>
      <c r="X212" s="79"/>
      <c r="Y212" s="79"/>
      <c r="Z212" s="79"/>
      <c r="AA212" s="236"/>
      <c r="AB212" s="79"/>
      <c r="AC212" s="92"/>
      <c r="AD212" s="79"/>
      <c r="AE212" s="79"/>
      <c r="AF212" s="79"/>
      <c r="AG212" s="79"/>
      <c r="AH212" s="79"/>
      <c r="AI212" s="79"/>
      <c r="AJ212" s="79"/>
      <c r="AK212" s="79"/>
      <c r="AL212" s="79"/>
      <c r="AM212" s="79"/>
      <c r="AN212" s="79"/>
      <c r="AO212" s="79"/>
      <c r="AP212" s="79"/>
      <c r="AQ212" s="79"/>
      <c r="AR212" s="79"/>
      <c r="AS212" s="79"/>
      <c r="AT212" s="79"/>
      <c r="AU212" s="79"/>
      <c r="AV212" s="230"/>
      <c r="AW212" s="79"/>
      <c r="AX212" s="79"/>
      <c r="AY212" s="79"/>
      <c r="AZ212" s="79"/>
      <c r="BA212" s="79"/>
      <c r="BB212" s="79"/>
      <c r="BC212" s="79"/>
      <c r="BD212" s="79"/>
      <c r="BE212" s="79"/>
      <c r="BF212" s="79"/>
      <c r="BG212" s="79"/>
      <c r="BH212" s="79"/>
      <c r="BI212" s="79"/>
      <c r="BJ212" s="79"/>
      <c r="BK212" s="79">
        <v>0.5</v>
      </c>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outlineLevel="1">
      <c r="A213" s="30" t="str">
        <f t="shared" si="54"/>
        <v>lt002_instrumentgrss_intrst_incm</v>
      </c>
      <c r="B213" s="142" t="s">
        <v>26</v>
      </c>
      <c r="C213" s="138" t="s">
        <v>26</v>
      </c>
      <c r="D213" s="252" t="s">
        <v>40</v>
      </c>
      <c r="E213" s="256" t="s">
        <v>380</v>
      </c>
      <c r="F213" s="256"/>
      <c r="G213" s="256" t="s">
        <v>421</v>
      </c>
      <c r="H213" s="254" t="str">
        <f>VLOOKUP(A213,'2. Status Detalhe Campos'!$A$7:$G$574,7,0)</f>
        <v>5. Em Correção</v>
      </c>
      <c r="I213" s="153" t="s">
        <v>38</v>
      </c>
      <c r="J213" s="153"/>
      <c r="K213" s="228"/>
      <c r="L213" s="278">
        <f t="array" ref="L213">MIN(IF(V213:CH213&gt;0,$V$16:$CH$16))</f>
        <v>45609</v>
      </c>
      <c r="M213" s="277">
        <f t="array" ref="M213">MAX(IF(V213:CH213&gt;0,$V$16:$CH$16))</f>
        <v>45610</v>
      </c>
      <c r="N213" s="275">
        <f>VLOOKUP(H213,Auxiliar!$B$16:$E$24,4,0)</f>
        <v>0</v>
      </c>
      <c r="O213" s="275">
        <f t="shared" ca="1" si="58"/>
        <v>1</v>
      </c>
      <c r="P213" s="275">
        <f t="shared" ca="1" si="57"/>
        <v>-1</v>
      </c>
      <c r="Q213" s="274"/>
      <c r="R213" s="229"/>
      <c r="S213" s="240">
        <v>8</v>
      </c>
      <c r="T213" s="223">
        <f>ROUND(S213/8,1)</f>
        <v>1</v>
      </c>
      <c r="U213" s="223">
        <f>SUM(V213:CH213)-T213</f>
        <v>0</v>
      </c>
      <c r="V213" s="79"/>
      <c r="W213" s="79"/>
      <c r="X213" s="79"/>
      <c r="Y213" s="79"/>
      <c r="Z213" s="79"/>
      <c r="AA213" s="79"/>
      <c r="AB213" s="79"/>
      <c r="AC213" s="92"/>
      <c r="AD213" s="79"/>
      <c r="AE213" s="79"/>
      <c r="AF213" s="79"/>
      <c r="AG213" s="79"/>
      <c r="AH213" s="79"/>
      <c r="AI213" s="79"/>
      <c r="AJ213" s="79"/>
      <c r="AK213" s="79">
        <v>0.5</v>
      </c>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outlineLevel="1">
      <c r="A214" s="30" t="str">
        <f t="shared" si="54"/>
        <v>lt002_instrumentgrss_cmmssn_incm</v>
      </c>
      <c r="B214" s="142" t="s">
        <v>26</v>
      </c>
      <c r="C214" s="138" t="s">
        <v>26</v>
      </c>
      <c r="D214" s="252" t="s">
        <v>40</v>
      </c>
      <c r="E214" s="256" t="s">
        <v>380</v>
      </c>
      <c r="F214" s="256"/>
      <c r="G214" s="256" t="s">
        <v>422</v>
      </c>
      <c r="H214" s="254" t="str">
        <f>VLOOKUP(A214,'2. Status Detalhe Campos'!$A$7:$G$574,7,0)</f>
        <v>5. Em Correção</v>
      </c>
      <c r="I214" s="153" t="s">
        <v>38</v>
      </c>
      <c r="J214" s="153"/>
      <c r="K214" s="228"/>
      <c r="L214" s="278">
        <f t="array" ref="L214">MIN(IF(V214:CH214&gt;0,$V$16:$CH$16))</f>
        <v>45610</v>
      </c>
      <c r="M214" s="277">
        <f t="array" ref="M214">MAX(IF(V214:CH214&gt;0,$V$16:$CH$16))</f>
        <v>45610</v>
      </c>
      <c r="N214" s="275">
        <f>VLOOKUP(H214,Auxiliar!$B$16:$E$24,4,0)</f>
        <v>0</v>
      </c>
      <c r="O214" s="275">
        <f t="shared" ca="1" si="58"/>
        <v>1</v>
      </c>
      <c r="P214" s="275">
        <f t="shared" ca="1" si="57"/>
        <v>-1</v>
      </c>
      <c r="Q214" s="274"/>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v>0.5</v>
      </c>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outlineLevel="1">
      <c r="A215" s="30" t="str">
        <f t="shared" si="54"/>
        <v>lt002_instrumentgrss_cmmssn_incm_off_blnc</v>
      </c>
      <c r="B215" s="142" t="s">
        <v>26</v>
      </c>
      <c r="C215" s="138" t="s">
        <v>26</v>
      </c>
      <c r="D215" s="252" t="s">
        <v>40</v>
      </c>
      <c r="E215" s="256" t="s">
        <v>380</v>
      </c>
      <c r="F215" s="256"/>
      <c r="G215" s="256" t="s">
        <v>423</v>
      </c>
      <c r="H215" s="254" t="str">
        <f>VLOOKUP(A215,'2. Status Detalhe Campos'!$A$7:$G$574,7,0)</f>
        <v>5. Em Correção</v>
      </c>
      <c r="I215" s="153" t="s">
        <v>38</v>
      </c>
      <c r="J215" s="153"/>
      <c r="K215" s="228"/>
      <c r="L215" s="278">
        <f t="array" ref="L215">MIN(IF(V215:CH215&gt;0,$V$16:$CH$16))</f>
        <v>45611</v>
      </c>
      <c r="M215" s="277">
        <f t="array" ref="M215">MAX(IF(V215:CH215&gt;0,$V$16:$CH$16))</f>
        <v>45611</v>
      </c>
      <c r="N215" s="275">
        <f>VLOOKUP(H215,Auxiliar!$B$16:$E$24,4,0)</f>
        <v>0</v>
      </c>
      <c r="O215" s="275">
        <f t="shared" ca="1" si="58"/>
        <v>1</v>
      </c>
      <c r="P215" s="275">
        <f t="shared" ca="1" si="57"/>
        <v>-1</v>
      </c>
      <c r="Q215" s="274"/>
      <c r="R215" s="229"/>
      <c r="S215" s="240">
        <v>4</v>
      </c>
      <c r="T215" s="223">
        <f>ROUND(S215/8,1)</f>
        <v>0.5</v>
      </c>
      <c r="U215" s="223">
        <f>SUM(V215:CH215)-T215</f>
        <v>0</v>
      </c>
      <c r="V215" s="79"/>
      <c r="W215" s="79"/>
      <c r="X215" s="79"/>
      <c r="Y215" s="79"/>
      <c r="Z215" s="79"/>
      <c r="AA215" s="79"/>
      <c r="AB215" s="79"/>
      <c r="AC215" s="92"/>
      <c r="AD215" s="79"/>
      <c r="AE215" s="79"/>
      <c r="AF215" s="79"/>
      <c r="AG215" s="79"/>
      <c r="AH215" s="79"/>
      <c r="AI215" s="79"/>
      <c r="AJ215" s="79"/>
      <c r="AK215" s="79"/>
      <c r="AL215" s="79"/>
      <c r="AM215" s="79">
        <v>0.5</v>
      </c>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c r="A216" s="30" t="str">
        <f t="shared" si="54"/>
        <v>lt002_instrument3</v>
      </c>
      <c r="B216" s="142" t="s">
        <v>26</v>
      </c>
      <c r="C216" s="138" t="s">
        <v>26</v>
      </c>
      <c r="D216" s="252"/>
      <c r="E216" s="262" t="s">
        <v>380</v>
      </c>
      <c r="F216" s="333" t="s">
        <v>2004</v>
      </c>
      <c r="G216" s="336">
        <v>3</v>
      </c>
      <c r="H216" s="341"/>
      <c r="I216" s="228"/>
      <c r="J216" s="153"/>
      <c r="K216" s="228"/>
      <c r="L216" s="257">
        <f>MIN(L217)</f>
        <v>0</v>
      </c>
      <c r="M216" s="258">
        <f>MAX(M217)</f>
        <v>0</v>
      </c>
      <c r="N216" s="279">
        <v>0</v>
      </c>
      <c r="O216" s="279">
        <v>0</v>
      </c>
      <c r="P216" s="274">
        <f t="shared" si="57"/>
        <v>0</v>
      </c>
      <c r="Q216" s="274"/>
      <c r="R216" s="229"/>
      <c r="S216" s="344"/>
      <c r="T216" s="223"/>
      <c r="U216" s="223"/>
      <c r="V216" s="79"/>
      <c r="W216" s="79"/>
      <c r="X216" s="79"/>
      <c r="Y216" s="79"/>
      <c r="Z216" s="79"/>
      <c r="AA216" s="79"/>
      <c r="AB216" s="79"/>
      <c r="AC216" s="92"/>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outlineLevel="2">
      <c r="A217" s="30" t="str">
        <f t="shared" si="54"/>
        <v>lt002_instrumentgrss_intrst_incm</v>
      </c>
      <c r="B217" s="142" t="s">
        <v>26</v>
      </c>
      <c r="C217" s="138" t="s">
        <v>26</v>
      </c>
      <c r="D217" s="252"/>
      <c r="E217" s="256" t="s">
        <v>380</v>
      </c>
      <c r="F217" s="256"/>
      <c r="G217" s="256" t="s">
        <v>421</v>
      </c>
      <c r="H217" s="254" t="str">
        <f>VLOOKUP(A217,'2. Status Detalhe Campos'!$A$7:$G$574,7,0)</f>
        <v>5. Em Correção</v>
      </c>
      <c r="I217" s="228"/>
      <c r="J217" s="153"/>
      <c r="K217" s="228"/>
      <c r="L217" s="278"/>
      <c r="M217" s="277"/>
      <c r="N217" s="275">
        <f>VLOOKUP(H217,Auxiliar!$B$16:$E$24,4,0)</f>
        <v>0</v>
      </c>
      <c r="O217" s="275">
        <f t="shared" ca="1" si="58"/>
        <v>1</v>
      </c>
      <c r="P217" s="275">
        <f t="shared" ca="1" si="57"/>
        <v>-1</v>
      </c>
      <c r="Q217" s="274"/>
      <c r="R217" s="229"/>
      <c r="S217" s="240"/>
      <c r="T217" s="223"/>
      <c r="U217" s="223"/>
      <c r="V217" s="79"/>
      <c r="W217" s="79"/>
      <c r="X217" s="79"/>
      <c r="Y217" s="79"/>
      <c r="Z217" s="79"/>
      <c r="AA217" s="79"/>
      <c r="AB217" s="79"/>
      <c r="AC217" s="92"/>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outlineLevel="2">
      <c r="A218" s="30" t="str">
        <f t="shared" si="54"/>
        <v>lt002_instrumentgrss_cmmssn_incm</v>
      </c>
      <c r="B218" s="142" t="s">
        <v>26</v>
      </c>
      <c r="C218" s="138" t="s">
        <v>26</v>
      </c>
      <c r="D218" s="252"/>
      <c r="E218" s="256" t="s">
        <v>380</v>
      </c>
      <c r="F218" s="256"/>
      <c r="G218" s="256" t="s">
        <v>422</v>
      </c>
      <c r="H218" s="254" t="str">
        <f>VLOOKUP(A218,'2. Status Detalhe Campos'!$A$7:$G$574,7,0)</f>
        <v>5. Em Correção</v>
      </c>
      <c r="I218" s="228"/>
      <c r="J218" s="153"/>
      <c r="K218" s="228"/>
      <c r="L218" s="278"/>
      <c r="M218" s="277"/>
      <c r="N218" s="275">
        <f>VLOOKUP(H218,Auxiliar!$B$16:$E$24,4,0)</f>
        <v>0</v>
      </c>
      <c r="O218" s="275">
        <f t="shared" ca="1" si="58"/>
        <v>1</v>
      </c>
      <c r="P218" s="275">
        <f t="shared" ca="1" si="57"/>
        <v>-1</v>
      </c>
      <c r="Q218" s="274"/>
      <c r="R218" s="229"/>
      <c r="S218" s="240"/>
      <c r="T218" s="223"/>
      <c r="U218" s="223"/>
      <c r="V218" s="79"/>
      <c r="W218" s="79"/>
      <c r="X218" s="79"/>
      <c r="Y218" s="79"/>
      <c r="Z218" s="79"/>
      <c r="AA218" s="79"/>
      <c r="AB218" s="79"/>
      <c r="AC218" s="92"/>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79"/>
      <c r="BA218" s="79"/>
      <c r="BB218" s="79"/>
      <c r="BC218" s="79"/>
      <c r="BD218" s="79"/>
      <c r="BE218" s="79"/>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outlineLevel="2">
      <c r="A219" s="30" t="str">
        <f t="shared" si="54"/>
        <v>lt002_instrumentgrss_cmmssn_incm_off_blnc</v>
      </c>
      <c r="B219" s="142" t="s">
        <v>26</v>
      </c>
      <c r="C219" s="138" t="s">
        <v>26</v>
      </c>
      <c r="D219" s="252"/>
      <c r="E219" s="256" t="s">
        <v>380</v>
      </c>
      <c r="F219" s="256"/>
      <c r="G219" s="256" t="s">
        <v>423</v>
      </c>
      <c r="H219" s="254" t="str">
        <f>VLOOKUP(A219,'2. Status Detalhe Campos'!$A$7:$G$574,7,0)</f>
        <v>5. Em Correção</v>
      </c>
      <c r="I219" s="228"/>
      <c r="J219" s="153"/>
      <c r="K219" s="228"/>
      <c r="L219" s="278"/>
      <c r="M219" s="277"/>
      <c r="N219" s="275">
        <f>VLOOKUP(H219,Auxiliar!$B$16:$E$24,4,0)</f>
        <v>0</v>
      </c>
      <c r="O219" s="275">
        <f t="shared" ca="1" si="58"/>
        <v>1</v>
      </c>
      <c r="P219" s="275">
        <f t="shared" ca="1" si="57"/>
        <v>-1</v>
      </c>
      <c r="Q219" s="274"/>
      <c r="R219" s="229"/>
      <c r="S219" s="240"/>
      <c r="T219" s="223"/>
      <c r="U219" s="223"/>
      <c r="V219" s="79"/>
      <c r="W219" s="79"/>
      <c r="X219" s="79"/>
      <c r="Y219" s="79"/>
      <c r="Z219" s="79"/>
      <c r="AA219" s="79"/>
      <c r="AB219" s="79"/>
      <c r="AC219" s="92"/>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79"/>
      <c r="AZ219" s="79"/>
      <c r="BA219" s="79"/>
      <c r="BB219" s="79"/>
      <c r="BC219" s="79"/>
      <c r="BD219" s="79"/>
      <c r="BE219" s="79"/>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c r="A220" s="30"/>
      <c r="B220" s="142" t="s">
        <v>26</v>
      </c>
      <c r="C220" s="138" t="s">
        <v>26</v>
      </c>
      <c r="D220" s="134"/>
      <c r="E220" s="262" t="s">
        <v>1958</v>
      </c>
      <c r="F220" s="259" t="s">
        <v>2006</v>
      </c>
      <c r="G220" s="260">
        <f>COUNTA(G221:G230)</f>
        <v>10</v>
      </c>
      <c r="H220" s="136"/>
      <c r="I220" s="339">
        <f>MAX(I221:I230)</f>
        <v>45603</v>
      </c>
      <c r="J220" s="261">
        <f>MIN(J221:J230)</f>
        <v>45611</v>
      </c>
      <c r="K220" s="261">
        <f>MIN(K221:K230)</f>
        <v>45611</v>
      </c>
      <c r="L220" s="258">
        <f>MIN(L221:L230)</f>
        <v>45636</v>
      </c>
      <c r="M220" s="258">
        <f>MAX(M221:M230)</f>
        <v>45642</v>
      </c>
      <c r="N220" s="279">
        <f>SUMPRODUCT(N221:N230,T221:T230)/SUM(T221:T230)</f>
        <v>0.25</v>
      </c>
      <c r="O220" s="279">
        <f ca="1">SUMPRODUCT(O221:O230,T221:T230)/SUM(T221:T230)</f>
        <v>0</v>
      </c>
      <c r="P220" s="274">
        <f t="shared" ca="1" si="57"/>
        <v>0.25</v>
      </c>
      <c r="Q220" s="283" t="s">
        <v>2020</v>
      </c>
      <c r="R220" s="229"/>
      <c r="S220" s="223"/>
      <c r="T220" s="223"/>
      <c r="U220" s="223"/>
      <c r="V220" s="79"/>
      <c r="W220" s="79"/>
      <c r="X220" s="79"/>
      <c r="Y220" s="236"/>
      <c r="Z220" s="79"/>
      <c r="AA220" s="79"/>
      <c r="AB220" s="79"/>
      <c r="AC220" s="92"/>
      <c r="AD220" s="79"/>
      <c r="AE220" s="79"/>
      <c r="AF220" s="79"/>
      <c r="AG220" s="236"/>
      <c r="AH220" s="79"/>
      <c r="AI220" s="79"/>
      <c r="AJ220" s="79"/>
      <c r="AK220" s="79"/>
      <c r="AL220" s="79"/>
      <c r="AM220" s="226"/>
      <c r="AN220" s="79"/>
      <c r="AO220" s="79"/>
      <c r="AP220" s="79"/>
      <c r="AQ220" s="79"/>
      <c r="AR220" s="79"/>
      <c r="AS220" s="79"/>
      <c r="AT220" s="79"/>
      <c r="AU220" s="79"/>
      <c r="AV220" s="79"/>
      <c r="AW220" s="79"/>
      <c r="AX220" s="79"/>
      <c r="AY220" s="79"/>
      <c r="AZ220" s="79"/>
      <c r="BA220" s="79"/>
      <c r="BB220" s="79"/>
      <c r="BC220" s="79"/>
      <c r="BD220" s="79"/>
      <c r="BE220" s="79"/>
      <c r="BF220" s="79"/>
      <c r="BG220" s="79"/>
      <c r="BH220" s="79"/>
      <c r="BI220" s="79"/>
      <c r="BJ220" s="79"/>
      <c r="BK220" s="79"/>
      <c r="BL220" s="264"/>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outlineLevel="1">
      <c r="A221" s="30" t="str">
        <f t="shared" ref="A221:A230" si="59">E221&amp;G221</f>
        <v>lt827_mthd_usd_instrmntambito</v>
      </c>
      <c r="B221" s="142" t="s">
        <v>26</v>
      </c>
      <c r="C221" s="138" t="s">
        <v>26</v>
      </c>
      <c r="D221" s="252" t="s">
        <v>40</v>
      </c>
      <c r="E221" s="256" t="s">
        <v>1958</v>
      </c>
      <c r="F221" s="256"/>
      <c r="G221" s="256" t="s">
        <v>391</v>
      </c>
      <c r="H221" s="254" t="str">
        <f>VLOOKUP(A221,'2. Status Detalhe Campos'!$A$7:$G$574,7,0)</f>
        <v>2.1 Em Teste</v>
      </c>
      <c r="I221" s="239">
        <v>45603</v>
      </c>
      <c r="J221" s="237">
        <v>45611</v>
      </c>
      <c r="K221" s="237">
        <v>45611</v>
      </c>
      <c r="L221" s="278">
        <f t="array" ref="L221">MIN(IF(V221:CH221&gt;0,$V$16:$CH$16))</f>
        <v>45636</v>
      </c>
      <c r="M221" s="277">
        <f t="array" ref="M221">MAX(IF(V221:CH221&gt;0,$V$16:$CH$16))</f>
        <v>45636</v>
      </c>
      <c r="N221" s="275">
        <f>VLOOKUP(H221,Auxiliar!$B$16:$E$24,4,0)</f>
        <v>0.25</v>
      </c>
      <c r="O221" s="275">
        <f t="shared" ref="O221:O230" ca="1" si="60">IF(TODAY()&lt;=L221,0,MIN((TODAY()-L221)/(M221-L221+1),100%))</f>
        <v>0</v>
      </c>
      <c r="P221" s="274">
        <f t="shared" ca="1" si="57"/>
        <v>0.25</v>
      </c>
      <c r="Q221" s="283" t="s">
        <v>38</v>
      </c>
      <c r="R221" s="229"/>
      <c r="S221" s="223">
        <v>4.0999999999999996</v>
      </c>
      <c r="T221" s="223">
        <f t="shared" si="40"/>
        <v>0.5</v>
      </c>
      <c r="U221" s="223">
        <f t="shared" ref="U221:U230" si="61">SUM(V221:CH221)-T221</f>
        <v>0</v>
      </c>
      <c r="V221" s="79"/>
      <c r="W221" s="79"/>
      <c r="X221" s="79"/>
      <c r="Y221" s="236"/>
      <c r="Z221" s="79"/>
      <c r="AA221" s="79"/>
      <c r="AB221" s="79"/>
      <c r="AC221" s="92"/>
      <c r="AD221" s="79"/>
      <c r="AE221" s="79"/>
      <c r="AF221" s="79"/>
      <c r="AG221" s="236"/>
      <c r="AH221" s="79"/>
      <c r="AI221" s="79"/>
      <c r="AJ221" s="79"/>
      <c r="AK221" s="79"/>
      <c r="AL221" s="79"/>
      <c r="AM221" s="226"/>
      <c r="AN221" s="79"/>
      <c r="AO221" s="79"/>
      <c r="AP221" s="79"/>
      <c r="AQ221" s="79"/>
      <c r="AR221" s="79"/>
      <c r="AS221" s="79"/>
      <c r="AT221" s="79"/>
      <c r="AU221" s="79"/>
      <c r="AV221" s="79"/>
      <c r="AW221" s="79"/>
      <c r="AX221" s="79"/>
      <c r="AY221" s="79"/>
      <c r="AZ221" s="79"/>
      <c r="BA221" s="79"/>
      <c r="BB221" s="79"/>
      <c r="BC221" s="79"/>
      <c r="BD221" s="79">
        <v>0.5</v>
      </c>
      <c r="BE221" s="79"/>
      <c r="BF221" s="79"/>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outlineLevel="1">
      <c r="A222" s="30" t="str">
        <f t="shared" si="59"/>
        <v>lt827_mthd_usd_instrmntref_date</v>
      </c>
      <c r="B222" s="142" t="s">
        <v>26</v>
      </c>
      <c r="C222" s="138" t="s">
        <v>26</v>
      </c>
      <c r="D222" s="252" t="s">
        <v>40</v>
      </c>
      <c r="E222" s="256" t="s">
        <v>1958</v>
      </c>
      <c r="F222" s="256"/>
      <c r="G222" s="256" t="s">
        <v>208</v>
      </c>
      <c r="H222" s="254" t="str">
        <f>VLOOKUP(A222,'2. Status Detalhe Campos'!$A$7:$G$574,7,0)</f>
        <v>2.1 Em Teste</v>
      </c>
      <c r="I222" s="239">
        <v>45603</v>
      </c>
      <c r="J222" s="237">
        <v>45611</v>
      </c>
      <c r="K222" s="237">
        <v>45611</v>
      </c>
      <c r="L222" s="278">
        <f t="array" ref="L222">MIN(IF(V222:CH222&gt;0,$V$16:$CH$16))</f>
        <v>45636</v>
      </c>
      <c r="M222" s="277">
        <f t="array" ref="M222">MAX(IF(V222:CH222&gt;0,$V$16:$CH$16))</f>
        <v>45636</v>
      </c>
      <c r="N222" s="275">
        <f>VLOOKUP(H222,Auxiliar!$B$16:$E$24,4,0)</f>
        <v>0.25</v>
      </c>
      <c r="O222" s="275">
        <f t="shared" ca="1" si="60"/>
        <v>0</v>
      </c>
      <c r="P222" s="274">
        <f t="shared" ca="1" si="57"/>
        <v>0.25</v>
      </c>
      <c r="Q222" s="283" t="s">
        <v>38</v>
      </c>
      <c r="R222" s="229"/>
      <c r="S222" s="223">
        <v>4.0999999999999996</v>
      </c>
      <c r="T222" s="223">
        <f t="shared" si="40"/>
        <v>0.5</v>
      </c>
      <c r="U222" s="223">
        <f t="shared" si="61"/>
        <v>0</v>
      </c>
      <c r="V222" s="79"/>
      <c r="W222" s="79"/>
      <c r="X222" s="79"/>
      <c r="Y222" s="236"/>
      <c r="Z222" s="79"/>
      <c r="AA222" s="79"/>
      <c r="AB222" s="79"/>
      <c r="AC222" s="92"/>
      <c r="AD222" s="79"/>
      <c r="AE222" s="79"/>
      <c r="AF222" s="79"/>
      <c r="AG222" s="236"/>
      <c r="AH222" s="79"/>
      <c r="AI222" s="79"/>
      <c r="AJ222" s="79"/>
      <c r="AK222" s="79"/>
      <c r="AL222" s="79"/>
      <c r="AM222" s="226"/>
      <c r="AN222" s="79"/>
      <c r="AO222" s="79"/>
      <c r="AP222" s="79"/>
      <c r="AQ222" s="79"/>
      <c r="AR222" s="79"/>
      <c r="AS222" s="79"/>
      <c r="AT222" s="79"/>
      <c r="AU222" s="79"/>
      <c r="AV222" s="79"/>
      <c r="AW222" s="79"/>
      <c r="AX222" s="79"/>
      <c r="AY222" s="79"/>
      <c r="AZ222" s="79"/>
      <c r="BA222" s="79"/>
      <c r="BB222" s="79"/>
      <c r="BC222" s="79"/>
      <c r="BD222" s="79">
        <v>0.5</v>
      </c>
      <c r="BE222" s="79"/>
      <c r="BF222" s="79"/>
      <c r="BG222" s="79"/>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outlineLevel="1">
      <c r="A223" s="30" t="str">
        <f t="shared" si="59"/>
        <v>lt827_mthd_usd_instrmntordem</v>
      </c>
      <c r="B223" s="142" t="s">
        <v>26</v>
      </c>
      <c r="C223" s="138" t="s">
        <v>26</v>
      </c>
      <c r="D223" s="252" t="s">
        <v>40</v>
      </c>
      <c r="E223" s="256" t="s">
        <v>1958</v>
      </c>
      <c r="F223" s="256"/>
      <c r="G223" s="256" t="s">
        <v>211</v>
      </c>
      <c r="H223" s="254" t="str">
        <f>VLOOKUP(A223,'2. Status Detalhe Campos'!$A$7:$G$574,7,0)</f>
        <v>2.1 Em Teste</v>
      </c>
      <c r="I223" s="239">
        <v>45603</v>
      </c>
      <c r="J223" s="237">
        <v>45611</v>
      </c>
      <c r="K223" s="237">
        <v>45611</v>
      </c>
      <c r="L223" s="278">
        <f t="array" ref="L223">MIN(IF(V223:CH223&gt;0,$V$16:$CH$16))</f>
        <v>45637</v>
      </c>
      <c r="M223" s="277">
        <f t="array" ref="M223">MAX(IF(V223:CH223&gt;0,$V$16:$CH$16))</f>
        <v>45637</v>
      </c>
      <c r="N223" s="275">
        <f>VLOOKUP(H223,Auxiliar!$B$16:$E$24,4,0)</f>
        <v>0.25</v>
      </c>
      <c r="O223" s="275">
        <f t="shared" ca="1" si="60"/>
        <v>0</v>
      </c>
      <c r="P223" s="274">
        <f t="shared" ca="1" si="57"/>
        <v>0.25</v>
      </c>
      <c r="Q223" s="283" t="s">
        <v>38</v>
      </c>
      <c r="R223" s="229"/>
      <c r="S223" s="223">
        <v>4.0999999999999996</v>
      </c>
      <c r="T223" s="223">
        <f t="shared" si="40"/>
        <v>0.5</v>
      </c>
      <c r="U223" s="223">
        <f t="shared" si="61"/>
        <v>0</v>
      </c>
      <c r="V223" s="79"/>
      <c r="W223" s="79"/>
      <c r="X223" s="79"/>
      <c r="Y223" s="236"/>
      <c r="Z223" s="79"/>
      <c r="AA223" s="79"/>
      <c r="AB223" s="79"/>
      <c r="AC223" s="92"/>
      <c r="AD223" s="79"/>
      <c r="AE223" s="79"/>
      <c r="AF223" s="79"/>
      <c r="AG223" s="236"/>
      <c r="AH223" s="79"/>
      <c r="AI223" s="79"/>
      <c r="AJ223" s="79"/>
      <c r="AK223" s="79"/>
      <c r="AL223" s="79"/>
      <c r="AM223" s="226"/>
      <c r="AN223" s="79"/>
      <c r="AO223" s="79"/>
      <c r="AP223" s="79"/>
      <c r="AQ223" s="79"/>
      <c r="AR223" s="79"/>
      <c r="AS223" s="79"/>
      <c r="AT223" s="79"/>
      <c r="AU223" s="79"/>
      <c r="AV223" s="79"/>
      <c r="AW223" s="79"/>
      <c r="AX223" s="79"/>
      <c r="AY223" s="79"/>
      <c r="AZ223" s="79"/>
      <c r="BA223" s="79"/>
      <c r="BB223" s="79"/>
      <c r="BC223" s="79"/>
      <c r="BD223" s="79"/>
      <c r="BE223" s="79">
        <v>0.5</v>
      </c>
      <c r="BF223" s="79"/>
      <c r="BG223" s="79"/>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outlineLevel="1">
      <c r="A224" s="30" t="str">
        <f t="shared" si="59"/>
        <v>lt827_mthd_usd_instrmnttabela</v>
      </c>
      <c r="B224" s="142" t="s">
        <v>26</v>
      </c>
      <c r="C224" s="138" t="s">
        <v>26</v>
      </c>
      <c r="D224" s="252" t="s">
        <v>40</v>
      </c>
      <c r="E224" s="256" t="s">
        <v>1958</v>
      </c>
      <c r="F224" s="256"/>
      <c r="G224" s="256" t="s">
        <v>392</v>
      </c>
      <c r="H224" s="254" t="str">
        <f>VLOOKUP(A224,'2. Status Detalhe Campos'!$A$7:$G$574,7,0)</f>
        <v>2.1 Em Teste</v>
      </c>
      <c r="I224" s="239">
        <v>45603</v>
      </c>
      <c r="J224" s="237">
        <v>45611</v>
      </c>
      <c r="K224" s="237">
        <v>45611</v>
      </c>
      <c r="L224" s="278">
        <f t="array" ref="L224">MIN(IF(V224:CH224&gt;0,$V$16:$CH$16))</f>
        <v>45637</v>
      </c>
      <c r="M224" s="277">
        <f t="array" ref="M224">MAX(IF(V224:CH224&gt;0,$V$16:$CH$16))</f>
        <v>45637</v>
      </c>
      <c r="N224" s="275">
        <f>VLOOKUP(H224,Auxiliar!$B$16:$E$24,4,0)</f>
        <v>0.25</v>
      </c>
      <c r="O224" s="275">
        <f t="shared" ca="1" si="60"/>
        <v>0</v>
      </c>
      <c r="P224" s="274">
        <f t="shared" ca="1" si="57"/>
        <v>0.25</v>
      </c>
      <c r="Q224" s="283" t="s">
        <v>38</v>
      </c>
      <c r="R224" s="229"/>
      <c r="S224" s="223">
        <v>4.0999999999999996</v>
      </c>
      <c r="T224" s="223">
        <f t="shared" si="40"/>
        <v>0.5</v>
      </c>
      <c r="U224" s="223">
        <f t="shared" si="61"/>
        <v>0</v>
      </c>
      <c r="V224" s="79"/>
      <c r="W224" s="79"/>
      <c r="X224" s="79"/>
      <c r="Y224" s="236"/>
      <c r="Z224" s="79"/>
      <c r="AA224" s="79"/>
      <c r="AB224" s="79"/>
      <c r="AC224" s="92"/>
      <c r="AD224" s="79"/>
      <c r="AE224" s="79"/>
      <c r="AF224" s="79"/>
      <c r="AG224" s="236"/>
      <c r="AH224" s="79"/>
      <c r="AI224" s="79"/>
      <c r="AJ224" s="79"/>
      <c r="AK224" s="79"/>
      <c r="AL224" s="79"/>
      <c r="AM224" s="226"/>
      <c r="AN224" s="79"/>
      <c r="AO224" s="79"/>
      <c r="AP224" s="79"/>
      <c r="AQ224" s="79"/>
      <c r="AR224" s="79"/>
      <c r="AS224" s="79"/>
      <c r="AT224" s="79"/>
      <c r="AU224" s="79"/>
      <c r="AV224" s="79"/>
      <c r="AW224" s="79"/>
      <c r="AX224" s="79"/>
      <c r="AY224" s="79"/>
      <c r="AZ224" s="79"/>
      <c r="BA224" s="79"/>
      <c r="BB224" s="79"/>
      <c r="BC224" s="79"/>
      <c r="BD224" s="79"/>
      <c r="BE224" s="79">
        <v>0.5</v>
      </c>
      <c r="BF224" s="79"/>
      <c r="BG224" s="79"/>
      <c r="BH224" s="79"/>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outlineLevel="1">
      <c r="A225" s="30" t="str">
        <f t="shared" si="59"/>
        <v>lt827_mthd_usd_instrmntorigem_scp1_emss</v>
      </c>
      <c r="B225" s="142" t="s">
        <v>26</v>
      </c>
      <c r="C225" s="138" t="s">
        <v>26</v>
      </c>
      <c r="D225" s="252" t="s">
        <v>40</v>
      </c>
      <c r="E225" s="256" t="s">
        <v>1958</v>
      </c>
      <c r="F225" s="256"/>
      <c r="G225" s="256" t="s">
        <v>320</v>
      </c>
      <c r="H225" s="254" t="str">
        <f>VLOOKUP(A225,'2. Status Detalhe Campos'!$A$7:$G$574,7,0)</f>
        <v>2.1 Em Teste</v>
      </c>
      <c r="I225" s="239">
        <v>45603</v>
      </c>
      <c r="J225" s="237">
        <v>45611</v>
      </c>
      <c r="K225" s="237">
        <v>45611</v>
      </c>
      <c r="L225" s="278">
        <f t="array" ref="L225">MIN(IF(V225:CH225&gt;0,$V$16:$CH$16))</f>
        <v>45638</v>
      </c>
      <c r="M225" s="277">
        <f t="array" ref="M225">MAX(IF(V225:CH225&gt;0,$V$16:$CH$16))</f>
        <v>45638</v>
      </c>
      <c r="N225" s="275">
        <f>VLOOKUP(H225,Auxiliar!$B$16:$E$24,4,0)</f>
        <v>0.25</v>
      </c>
      <c r="O225" s="275">
        <f t="shared" ca="1" si="60"/>
        <v>0</v>
      </c>
      <c r="P225" s="274">
        <f t="shared" ca="1" si="57"/>
        <v>0.25</v>
      </c>
      <c r="Q225" s="283" t="s">
        <v>38</v>
      </c>
      <c r="R225" s="229"/>
      <c r="S225" s="223">
        <v>4.0999999999999996</v>
      </c>
      <c r="T225" s="223">
        <f t="shared" si="40"/>
        <v>0.5</v>
      </c>
      <c r="U225" s="223">
        <f t="shared" si="61"/>
        <v>0</v>
      </c>
      <c r="V225" s="79"/>
      <c r="W225" s="79"/>
      <c r="X225" s="79"/>
      <c r="Y225" s="236"/>
      <c r="Z225" s="79"/>
      <c r="AA225" s="79"/>
      <c r="AB225" s="79"/>
      <c r="AC225" s="92"/>
      <c r="AD225" s="79"/>
      <c r="AE225" s="79"/>
      <c r="AF225" s="79"/>
      <c r="AG225" s="236"/>
      <c r="AH225" s="79"/>
      <c r="AI225" s="79"/>
      <c r="AJ225" s="79"/>
      <c r="AK225" s="79"/>
      <c r="AL225" s="79"/>
      <c r="AM225" s="226"/>
      <c r="AN225" s="79"/>
      <c r="AO225" s="79"/>
      <c r="AP225" s="79"/>
      <c r="AQ225" s="79"/>
      <c r="AR225" s="79"/>
      <c r="AS225" s="79"/>
      <c r="AT225" s="79"/>
      <c r="AU225" s="79"/>
      <c r="AV225" s="79"/>
      <c r="AW225" s="79"/>
      <c r="AX225" s="79"/>
      <c r="AY225" s="79"/>
      <c r="AZ225" s="79"/>
      <c r="BA225" s="79"/>
      <c r="BB225" s="79"/>
      <c r="BC225" s="79"/>
      <c r="BD225" s="79"/>
      <c r="BE225" s="79"/>
      <c r="BF225" s="79">
        <v>0.5</v>
      </c>
      <c r="BG225" s="79"/>
      <c r="BH225" s="79"/>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outlineLevel="1">
      <c r="A226" s="30" t="str">
        <f t="shared" si="59"/>
        <v>lt827_mthd_usd_instrmntorigem_scp2_emss</v>
      </c>
      <c r="B226" s="142" t="s">
        <v>26</v>
      </c>
      <c r="C226" s="138" t="s">
        <v>26</v>
      </c>
      <c r="D226" s="252" t="s">
        <v>40</v>
      </c>
      <c r="E226" s="256" t="s">
        <v>1958</v>
      </c>
      <c r="F226" s="256"/>
      <c r="G226" s="256" t="s">
        <v>321</v>
      </c>
      <c r="H226" s="254" t="str">
        <f>VLOOKUP(A226,'2. Status Detalhe Campos'!$A$7:$G$574,7,0)</f>
        <v>2.1 Em Teste</v>
      </c>
      <c r="I226" s="239">
        <v>45603</v>
      </c>
      <c r="J226" s="237">
        <v>45611</v>
      </c>
      <c r="K226" s="237">
        <v>45611</v>
      </c>
      <c r="L226" s="278">
        <f t="array" ref="L226">MIN(IF(V226:CH226&gt;0,$V$16:$CH$16))</f>
        <v>45638</v>
      </c>
      <c r="M226" s="277">
        <f t="array" ref="M226">MAX(IF(V226:CH226&gt;0,$V$16:$CH$16))</f>
        <v>45638</v>
      </c>
      <c r="N226" s="275">
        <f>VLOOKUP(H226,Auxiliar!$B$16:$E$24,4,0)</f>
        <v>0.25</v>
      </c>
      <c r="O226" s="275">
        <f t="shared" ca="1" si="60"/>
        <v>0</v>
      </c>
      <c r="P226" s="274">
        <f t="shared" ca="1" si="57"/>
        <v>0.25</v>
      </c>
      <c r="Q226" s="283" t="s">
        <v>38</v>
      </c>
      <c r="R226" s="229"/>
      <c r="S226" s="223">
        <v>4.0999999999999996</v>
      </c>
      <c r="T226" s="223">
        <f t="shared" si="40"/>
        <v>0.5</v>
      </c>
      <c r="U226" s="223">
        <f t="shared" si="61"/>
        <v>0</v>
      </c>
      <c r="V226" s="79"/>
      <c r="W226" s="79"/>
      <c r="X226" s="79"/>
      <c r="Y226" s="236"/>
      <c r="Z226" s="79"/>
      <c r="AA226" s="79"/>
      <c r="AB226" s="79"/>
      <c r="AC226" s="92"/>
      <c r="AD226" s="79"/>
      <c r="AE226" s="79"/>
      <c r="AF226" s="79"/>
      <c r="AG226" s="236"/>
      <c r="AH226" s="79"/>
      <c r="AI226" s="79"/>
      <c r="AJ226" s="79"/>
      <c r="AK226" s="79"/>
      <c r="AL226" s="79"/>
      <c r="AM226" s="226"/>
      <c r="AN226" s="79"/>
      <c r="AO226" s="79"/>
      <c r="AP226" s="79"/>
      <c r="AQ226" s="79"/>
      <c r="AR226" s="79"/>
      <c r="AS226" s="79"/>
      <c r="AT226" s="79"/>
      <c r="AU226" s="79"/>
      <c r="AV226" s="79"/>
      <c r="AW226" s="79"/>
      <c r="AX226" s="79"/>
      <c r="AY226" s="79"/>
      <c r="AZ226" s="79"/>
      <c r="BA226" s="79"/>
      <c r="BB226" s="79"/>
      <c r="BC226" s="79"/>
      <c r="BD226" s="79"/>
      <c r="BE226" s="79"/>
      <c r="BF226" s="79">
        <v>0.5</v>
      </c>
      <c r="BG226" s="79"/>
      <c r="BH226" s="79"/>
      <c r="BI226" s="79"/>
      <c r="BJ226" s="79"/>
      <c r="BK226" s="79"/>
      <c r="BL226" s="79"/>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outlineLevel="1">
      <c r="A227" s="30" t="str">
        <f t="shared" si="59"/>
        <v>lt827_mthd_usd_instrmntorigem_scp3_emss</v>
      </c>
      <c r="B227" s="142" t="s">
        <v>26</v>
      </c>
      <c r="C227" s="138" t="s">
        <v>26</v>
      </c>
      <c r="D227" s="252" t="s">
        <v>40</v>
      </c>
      <c r="E227" s="256" t="s">
        <v>1958</v>
      </c>
      <c r="F227" s="256"/>
      <c r="G227" s="256" t="s">
        <v>322</v>
      </c>
      <c r="H227" s="254" t="str">
        <f>VLOOKUP(A227,'2. Status Detalhe Campos'!$A$7:$G$574,7,0)</f>
        <v>2.1 Em Teste</v>
      </c>
      <c r="I227" s="239">
        <v>45603</v>
      </c>
      <c r="J227" s="237">
        <v>45611</v>
      </c>
      <c r="K227" s="237">
        <v>45611</v>
      </c>
      <c r="L227" s="278">
        <f t="array" ref="L227">MIN(IF(V227:CH227&gt;0,$V$16:$CH$16))</f>
        <v>45639</v>
      </c>
      <c r="M227" s="277">
        <f t="array" ref="M227">MAX(IF(V227:CH227&gt;0,$V$16:$CH$16))</f>
        <v>45639</v>
      </c>
      <c r="N227" s="275">
        <f>VLOOKUP(H227,Auxiliar!$B$16:$E$24,4,0)</f>
        <v>0.25</v>
      </c>
      <c r="O227" s="275">
        <f t="shared" ca="1" si="60"/>
        <v>0</v>
      </c>
      <c r="P227" s="274">
        <f t="shared" ca="1" si="57"/>
        <v>0.25</v>
      </c>
      <c r="Q227" s="283" t="s">
        <v>38</v>
      </c>
      <c r="R227" s="229"/>
      <c r="S227" s="223">
        <v>4.0999999999999996</v>
      </c>
      <c r="T227" s="223">
        <f t="shared" si="40"/>
        <v>0.5</v>
      </c>
      <c r="U227" s="223">
        <f t="shared" si="61"/>
        <v>0</v>
      </c>
      <c r="V227" s="79"/>
      <c r="W227" s="79"/>
      <c r="X227" s="79"/>
      <c r="Y227" s="236"/>
      <c r="Z227" s="79"/>
      <c r="AA227" s="79"/>
      <c r="AB227" s="79"/>
      <c r="AC227" s="92"/>
      <c r="AD227" s="79"/>
      <c r="AE227" s="79"/>
      <c r="AF227" s="79"/>
      <c r="AG227" s="236"/>
      <c r="AH227" s="79"/>
      <c r="AI227" s="79"/>
      <c r="AJ227" s="79"/>
      <c r="AK227" s="79"/>
      <c r="AL227" s="79"/>
      <c r="AM227" s="226"/>
      <c r="AN227" s="79"/>
      <c r="AO227" s="79"/>
      <c r="AP227" s="79"/>
      <c r="AQ227" s="79"/>
      <c r="AR227" s="79"/>
      <c r="AS227" s="79"/>
      <c r="AT227" s="79"/>
      <c r="AU227" s="79"/>
      <c r="AV227" s="79"/>
      <c r="AW227" s="79"/>
      <c r="AX227" s="79"/>
      <c r="AY227" s="79"/>
      <c r="AZ227" s="79"/>
      <c r="BA227" s="79"/>
      <c r="BB227" s="79"/>
      <c r="BC227" s="79"/>
      <c r="BD227" s="79"/>
      <c r="BE227" s="79"/>
      <c r="BF227" s="79"/>
      <c r="BG227" s="79">
        <v>0.5</v>
      </c>
      <c r="BH227" s="79"/>
      <c r="BI227" s="79"/>
      <c r="BJ227" s="79"/>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outlineLevel="1">
      <c r="A228" s="30" t="str">
        <f t="shared" si="59"/>
        <v>lt827_mthd_usd_instrmntmthd_usd_instrmnt_scp_1</v>
      </c>
      <c r="B228" s="142" t="s">
        <v>26</v>
      </c>
      <c r="C228" s="138" t="s">
        <v>26</v>
      </c>
      <c r="D228" s="252" t="s">
        <v>40</v>
      </c>
      <c r="E228" s="256" t="s">
        <v>1958</v>
      </c>
      <c r="F228" s="256"/>
      <c r="G228" s="256" t="s">
        <v>386</v>
      </c>
      <c r="H228" s="254" t="str">
        <f>VLOOKUP(A228,'2. Status Detalhe Campos'!$A$7:$G$574,7,0)</f>
        <v>2.1 Em Teste</v>
      </c>
      <c r="I228" s="239">
        <v>45603</v>
      </c>
      <c r="J228" s="237">
        <v>45611</v>
      </c>
      <c r="K228" s="237">
        <v>45611</v>
      </c>
      <c r="L228" s="278">
        <f t="array" ref="L228">MIN(IF(V228:CH228&gt;0,$V$16:$CH$16))</f>
        <v>45639</v>
      </c>
      <c r="M228" s="277">
        <f t="array" ref="M228">MAX(IF(V228:CH228&gt;0,$V$16:$CH$16))</f>
        <v>45639</v>
      </c>
      <c r="N228" s="275">
        <f>VLOOKUP(H228,Auxiliar!$B$16:$E$24,4,0)</f>
        <v>0.25</v>
      </c>
      <c r="O228" s="275">
        <f t="shared" ca="1" si="60"/>
        <v>0</v>
      </c>
      <c r="P228" s="274">
        <f t="shared" ca="1" si="57"/>
        <v>0.25</v>
      </c>
      <c r="Q228" s="283" t="s">
        <v>38</v>
      </c>
      <c r="R228" s="229"/>
      <c r="S228" s="223">
        <v>4.0999999999999996</v>
      </c>
      <c r="T228" s="223">
        <f t="shared" si="40"/>
        <v>0.5</v>
      </c>
      <c r="U228" s="223">
        <f t="shared" si="61"/>
        <v>0</v>
      </c>
      <c r="V228" s="79"/>
      <c r="W228" s="79"/>
      <c r="X228" s="79"/>
      <c r="Y228" s="236"/>
      <c r="Z228" s="79"/>
      <c r="AA228" s="79"/>
      <c r="AB228" s="79"/>
      <c r="AC228" s="92"/>
      <c r="AD228" s="79"/>
      <c r="AE228" s="79"/>
      <c r="AF228" s="79"/>
      <c r="AG228" s="236"/>
      <c r="AH228" s="79"/>
      <c r="AI228" s="79"/>
      <c r="AJ228" s="79"/>
      <c r="AK228" s="79"/>
      <c r="AL228" s="79"/>
      <c r="AM228" s="226"/>
      <c r="AN228" s="79"/>
      <c r="AO228" s="79"/>
      <c r="AP228" s="79"/>
      <c r="AQ228" s="79"/>
      <c r="AR228" s="79"/>
      <c r="AS228" s="79"/>
      <c r="AT228" s="79"/>
      <c r="AU228" s="79"/>
      <c r="AV228" s="79"/>
      <c r="AW228" s="79"/>
      <c r="AX228" s="79"/>
      <c r="AY228" s="79"/>
      <c r="AZ228" s="79"/>
      <c r="BA228" s="79"/>
      <c r="BB228" s="79"/>
      <c r="BC228" s="79"/>
      <c r="BD228" s="79"/>
      <c r="BE228" s="79"/>
      <c r="BF228" s="79"/>
      <c r="BG228" s="79">
        <v>0.5</v>
      </c>
      <c r="BH228" s="79"/>
      <c r="BI228" s="79"/>
      <c r="BJ228" s="79"/>
      <c r="BK228" s="79"/>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outlineLevel="1">
      <c r="A229" s="30" t="str">
        <f t="shared" si="59"/>
        <v>lt827_mthd_usd_instrmntmthd_usd_instrmnt_scp_2</v>
      </c>
      <c r="B229" s="142" t="s">
        <v>26</v>
      </c>
      <c r="C229" s="138" t="s">
        <v>26</v>
      </c>
      <c r="D229" s="252" t="s">
        <v>40</v>
      </c>
      <c r="E229" s="256" t="s">
        <v>1958</v>
      </c>
      <c r="F229" s="256"/>
      <c r="G229" s="256" t="s">
        <v>387</v>
      </c>
      <c r="H229" s="254" t="str">
        <f>VLOOKUP(A229,'2. Status Detalhe Campos'!$A$7:$G$574,7,0)</f>
        <v>2.1 Em Teste</v>
      </c>
      <c r="I229" s="239">
        <v>45603</v>
      </c>
      <c r="J229" s="237">
        <v>45611</v>
      </c>
      <c r="K229" s="237">
        <v>45611</v>
      </c>
      <c r="L229" s="278">
        <f t="array" ref="L229">MIN(IF(V229:CH229&gt;0,$V$16:$CH$16))</f>
        <v>45642</v>
      </c>
      <c r="M229" s="277">
        <f t="array" ref="M229">MAX(IF(V229:CH229&gt;0,$V$16:$CH$16))</f>
        <v>45642</v>
      </c>
      <c r="N229" s="275">
        <f>VLOOKUP(H229,Auxiliar!$B$16:$E$24,4,0)</f>
        <v>0.25</v>
      </c>
      <c r="O229" s="275">
        <f t="shared" ca="1" si="60"/>
        <v>0</v>
      </c>
      <c r="P229" s="274">
        <f t="shared" ca="1" si="57"/>
        <v>0.25</v>
      </c>
      <c r="Q229" s="283" t="s">
        <v>38</v>
      </c>
      <c r="R229" s="229"/>
      <c r="S229" s="223">
        <v>4.0999999999999996</v>
      </c>
      <c r="T229" s="223">
        <f t="shared" si="40"/>
        <v>0.5</v>
      </c>
      <c r="U229" s="223">
        <f t="shared" si="61"/>
        <v>0</v>
      </c>
      <c r="V229" s="79"/>
      <c r="W229" s="79"/>
      <c r="X229" s="79"/>
      <c r="Y229" s="236"/>
      <c r="Z229" s="79"/>
      <c r="AA229" s="79"/>
      <c r="AB229" s="79"/>
      <c r="AC229" s="92"/>
      <c r="AD229" s="79"/>
      <c r="AE229" s="79"/>
      <c r="AF229" s="79"/>
      <c r="AG229" s="236"/>
      <c r="AH229" s="79"/>
      <c r="AI229" s="79"/>
      <c r="AJ229" s="79"/>
      <c r="AK229" s="79"/>
      <c r="AL229" s="79"/>
      <c r="AM229" s="226"/>
      <c r="AN229" s="79"/>
      <c r="AO229" s="79"/>
      <c r="AP229" s="79"/>
      <c r="AQ229" s="79"/>
      <c r="AR229" s="79"/>
      <c r="AS229" s="79"/>
      <c r="AT229" s="79"/>
      <c r="AU229" s="79"/>
      <c r="AV229" s="79"/>
      <c r="AW229" s="79"/>
      <c r="AX229" s="79"/>
      <c r="AY229" s="79"/>
      <c r="AZ229" s="79"/>
      <c r="BA229" s="79"/>
      <c r="BB229" s="79"/>
      <c r="BC229" s="79"/>
      <c r="BD229" s="79"/>
      <c r="BE229" s="79"/>
      <c r="BF229" s="79"/>
      <c r="BG229" s="79"/>
      <c r="BH229" s="79">
        <v>0.5</v>
      </c>
      <c r="BI229" s="79"/>
      <c r="BJ229" s="79"/>
      <c r="BK229" s="79"/>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outlineLevel="1">
      <c r="A230" s="30" t="str">
        <f t="shared" si="59"/>
        <v>lt827_mthd_usd_instrmntmthd_usd_instrmnt_scp_3</v>
      </c>
      <c r="B230" s="142" t="s">
        <v>26</v>
      </c>
      <c r="C230" s="138" t="s">
        <v>26</v>
      </c>
      <c r="D230" s="252" t="s">
        <v>40</v>
      </c>
      <c r="E230" s="256" t="s">
        <v>1958</v>
      </c>
      <c r="F230" s="256"/>
      <c r="G230" s="256" t="s">
        <v>388</v>
      </c>
      <c r="H230" s="254" t="str">
        <f>VLOOKUP(A230,'2. Status Detalhe Campos'!$A$7:$G$574,7,0)</f>
        <v>2.1 Em Teste</v>
      </c>
      <c r="I230" s="239">
        <v>45603</v>
      </c>
      <c r="J230" s="237">
        <v>45611</v>
      </c>
      <c r="K230" s="237">
        <v>45611</v>
      </c>
      <c r="L230" s="278">
        <f t="array" ref="L230">MIN(IF(V230:CH230&gt;0,$V$16:$CH$16))</f>
        <v>45642</v>
      </c>
      <c r="M230" s="277">
        <f t="array" ref="M230">MAX(IF(V230:CH230&gt;0,$V$16:$CH$16))</f>
        <v>45642</v>
      </c>
      <c r="N230" s="275">
        <f>VLOOKUP(H230,Auxiliar!$B$16:$E$24,4,0)</f>
        <v>0.25</v>
      </c>
      <c r="O230" s="275">
        <f t="shared" ca="1" si="60"/>
        <v>0</v>
      </c>
      <c r="P230" s="274">
        <f t="shared" ca="1" si="57"/>
        <v>0.25</v>
      </c>
      <c r="Q230" s="283" t="s">
        <v>38</v>
      </c>
      <c r="R230" s="229"/>
      <c r="S230" s="223">
        <v>4.0999999999999996</v>
      </c>
      <c r="T230" s="223">
        <f t="shared" si="40"/>
        <v>0.5</v>
      </c>
      <c r="U230" s="223">
        <f t="shared" si="61"/>
        <v>0</v>
      </c>
      <c r="V230" s="79"/>
      <c r="W230" s="79"/>
      <c r="X230" s="79"/>
      <c r="Y230" s="236"/>
      <c r="Z230" s="79"/>
      <c r="AA230" s="79"/>
      <c r="AB230" s="79"/>
      <c r="AC230" s="92"/>
      <c r="AD230" s="79"/>
      <c r="AE230" s="79"/>
      <c r="AF230" s="79"/>
      <c r="AG230" s="236"/>
      <c r="AH230" s="79"/>
      <c r="AI230" s="79"/>
      <c r="AJ230" s="79"/>
      <c r="AK230" s="79"/>
      <c r="AL230" s="79"/>
      <c r="AM230" s="226"/>
      <c r="AN230" s="79"/>
      <c r="AO230" s="79"/>
      <c r="AP230" s="79"/>
      <c r="AQ230" s="79"/>
      <c r="AR230" s="79"/>
      <c r="AS230" s="79"/>
      <c r="AT230" s="79"/>
      <c r="AU230" s="79"/>
      <c r="AV230" s="79"/>
      <c r="AW230" s="79"/>
      <c r="AX230" s="79"/>
      <c r="AY230" s="79"/>
      <c r="AZ230" s="79"/>
      <c r="BA230" s="79"/>
      <c r="BB230" s="79"/>
      <c r="BC230" s="79"/>
      <c r="BD230" s="79"/>
      <c r="BE230" s="79"/>
      <c r="BF230" s="79"/>
      <c r="BG230" s="79"/>
      <c r="BH230" s="79">
        <v>0.5</v>
      </c>
      <c r="BI230" s="79"/>
      <c r="BJ230" s="79"/>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 r="A231" s="30"/>
      <c r="B231" s="142" t="s">
        <v>26</v>
      </c>
      <c r="C231" s="138" t="s">
        <v>26</v>
      </c>
      <c r="D231" s="134"/>
      <c r="E231" s="262" t="s">
        <v>1957</v>
      </c>
      <c r="F231" s="259" t="s">
        <v>1981</v>
      </c>
      <c r="G231" s="260">
        <f>COUNTA(G232:G236)</f>
        <v>5</v>
      </c>
      <c r="H231" s="136"/>
      <c r="I231" s="258">
        <f>MAX(I232:I235)</f>
        <v>45593</v>
      </c>
      <c r="J231" s="257">
        <f>MIN(J232:J235)</f>
        <v>45624</v>
      </c>
      <c r="K231" s="228"/>
      <c r="L231" s="258">
        <f>MIN(L232:L235)</f>
        <v>45644</v>
      </c>
      <c r="M231" s="258">
        <f>MAX(M232:M235)</f>
        <v>45645</v>
      </c>
      <c r="N231" s="279">
        <f>SUMPRODUCT(N232:N235,T232:T235)/SUM(T232:T235)</f>
        <v>0</v>
      </c>
      <c r="O231" s="279">
        <f ca="1">SUMPRODUCT(O232:O235,T232:T235)/SUM(T232:T235)</f>
        <v>0</v>
      </c>
      <c r="P231" s="274">
        <f t="shared" ca="1" si="57"/>
        <v>0</v>
      </c>
      <c r="Q231" s="283" t="s">
        <v>38</v>
      </c>
      <c r="R231" s="229"/>
      <c r="S231" s="223"/>
      <c r="T231" s="223"/>
      <c r="U231" s="223"/>
      <c r="V231" s="79"/>
      <c r="W231" s="79"/>
      <c r="X231" s="79"/>
      <c r="Y231" s="236"/>
      <c r="Z231" s="79"/>
      <c r="AA231" s="79"/>
      <c r="AB231" s="79"/>
      <c r="AC231" s="92"/>
      <c r="AD231" s="79"/>
      <c r="AE231" s="79"/>
      <c r="AF231" s="79"/>
      <c r="AG231" s="236"/>
      <c r="AH231" s="79"/>
      <c r="AI231" s="79"/>
      <c r="AJ231" s="79"/>
      <c r="AK231" s="79"/>
      <c r="AL231" s="79"/>
      <c r="AM231" s="79"/>
      <c r="AN231" s="79"/>
      <c r="AO231" s="79"/>
      <c r="AP231" s="79"/>
      <c r="AQ231" s="79"/>
      <c r="AR231" s="79"/>
      <c r="AS231" s="79"/>
      <c r="AT231" s="79"/>
      <c r="AU231" s="79"/>
      <c r="AV231" s="230"/>
      <c r="AW231" s="79"/>
      <c r="AX231" s="79"/>
      <c r="AY231" s="79"/>
      <c r="AZ231" s="79"/>
      <c r="BA231" s="79"/>
      <c r="BB231" s="79"/>
      <c r="BC231" s="79"/>
      <c r="BD231" s="79"/>
      <c r="BE231" s="79"/>
      <c r="BF231" s="79"/>
      <c r="BG231" s="79"/>
      <c r="BH231" s="79"/>
      <c r="BI231" s="79"/>
      <c r="BJ231" s="79"/>
      <c r="BK231" s="79"/>
      <c r="BL231" s="264"/>
      <c r="BM231" s="79"/>
      <c r="BN231" s="92"/>
      <c r="BO231" s="92"/>
      <c r="BP231" s="92"/>
      <c r="BQ231" s="92"/>
      <c r="BR231" s="92"/>
      <c r="BS231" s="92"/>
      <c r="BT231" s="92"/>
      <c r="BU231" s="79"/>
      <c r="BV231" s="79"/>
      <c r="BW231" s="79"/>
      <c r="BX231" s="79"/>
      <c r="BY231" s="79"/>
      <c r="BZ231" s="79"/>
      <c r="CA231" s="79"/>
      <c r="CB231" s="79"/>
      <c r="CC231" s="79"/>
      <c r="CD231" s="79"/>
      <c r="CE231" s="79"/>
      <c r="CF231" s="79"/>
      <c r="CG231" s="79"/>
      <c r="CH231" s="79"/>
    </row>
    <row r="232" spans="1:86" ht="16.2" outlineLevel="1">
      <c r="A232" s="30" t="str">
        <f>E232&amp;G232</f>
        <v>lt007_instr_activityenvrnmntl_objctv</v>
      </c>
      <c r="B232" s="142" t="s">
        <v>26</v>
      </c>
      <c r="C232" s="138" t="s">
        <v>26</v>
      </c>
      <c r="D232" s="252" t="s">
        <v>40</v>
      </c>
      <c r="E232" s="256" t="s">
        <v>1957</v>
      </c>
      <c r="F232" s="256"/>
      <c r="G232" s="256" t="s">
        <v>383</v>
      </c>
      <c r="H232" s="254" t="str">
        <f>VLOOKUP(A232,'2. Status Detalhe Campos'!$A$7:$G$574,7,0)</f>
        <v>6. Em implementação (re-especificação)</v>
      </c>
      <c r="I232" s="153">
        <v>45593</v>
      </c>
      <c r="J232" s="234">
        <v>45624</v>
      </c>
      <c r="K232" s="228"/>
      <c r="L232" s="278">
        <f t="array" ref="L232">MIN(IF(V232:CH232&gt;0,$V$16:$CH$16))</f>
        <v>45644</v>
      </c>
      <c r="M232" s="277">
        <f t="array" ref="M232">MAX(IF(V232:CH232&gt;0,$V$16:$CH$16))</f>
        <v>45644</v>
      </c>
      <c r="N232" s="275">
        <f>VLOOKUP(H232,Auxiliar!$B$16:$E$24,4,0)</f>
        <v>0</v>
      </c>
      <c r="O232" s="275">
        <f t="shared" ref="O232:O236" ca="1" si="62">IF(TODAY()&lt;=L232,0,MIN((TODAY()-L232)/(M232-L232+1),100%))</f>
        <v>0</v>
      </c>
      <c r="P232" s="274">
        <f t="shared" ca="1" si="57"/>
        <v>0</v>
      </c>
      <c r="Q232" s="283" t="s">
        <v>38</v>
      </c>
      <c r="R232" s="229"/>
      <c r="S232" s="223">
        <v>4.0999999999999996</v>
      </c>
      <c r="T232" s="223">
        <f>ROUND(S232/8,1)</f>
        <v>0.5</v>
      </c>
      <c r="U232" s="223">
        <f>SUM(V232:CH232)-T232</f>
        <v>0</v>
      </c>
      <c r="V232" s="79"/>
      <c r="W232" s="79"/>
      <c r="X232" s="79"/>
      <c r="Y232" s="236"/>
      <c r="Z232" s="79"/>
      <c r="AA232" s="79"/>
      <c r="AB232" s="79"/>
      <c r="AC232" s="92"/>
      <c r="AD232" s="79"/>
      <c r="AE232" s="79"/>
      <c r="AF232" s="79"/>
      <c r="AG232" s="236"/>
      <c r="AH232" s="79"/>
      <c r="AI232" s="79"/>
      <c r="AJ232" s="79"/>
      <c r="AK232" s="79"/>
      <c r="AL232" s="79"/>
      <c r="AM232" s="79"/>
      <c r="AN232" s="79"/>
      <c r="AO232" s="79"/>
      <c r="AP232" s="79"/>
      <c r="AQ232" s="79"/>
      <c r="AR232" s="79"/>
      <c r="AS232" s="79"/>
      <c r="AT232" s="79"/>
      <c r="AU232" s="79"/>
      <c r="AV232" s="230"/>
      <c r="AW232" s="79"/>
      <c r="AX232" s="79"/>
      <c r="AY232" s="79"/>
      <c r="AZ232" s="79"/>
      <c r="BA232" s="79"/>
      <c r="BB232" s="79"/>
      <c r="BC232" s="79"/>
      <c r="BD232" s="79"/>
      <c r="BE232" s="79"/>
      <c r="BF232" s="79"/>
      <c r="BG232" s="79"/>
      <c r="BH232" s="79"/>
      <c r="BI232" s="79"/>
      <c r="BJ232" s="79">
        <v>0.5</v>
      </c>
      <c r="BK232" s="79"/>
      <c r="BL232" s="79"/>
      <c r="BM232" s="79"/>
      <c r="BN232" s="92"/>
      <c r="BO232" s="92"/>
      <c r="BP232" s="92"/>
      <c r="BQ232" s="92"/>
      <c r="BR232" s="92"/>
      <c r="BS232" s="92"/>
      <c r="BT232" s="92"/>
      <c r="BU232" s="79"/>
      <c r="BV232" s="79"/>
      <c r="BW232" s="79"/>
      <c r="BX232" s="79"/>
      <c r="BY232" s="79"/>
      <c r="BZ232" s="79"/>
      <c r="CA232" s="79"/>
      <c r="CB232" s="79"/>
      <c r="CC232" s="79"/>
      <c r="CD232" s="79"/>
      <c r="CE232" s="79"/>
      <c r="CF232" s="79"/>
      <c r="CG232" s="79"/>
      <c r="CH232" s="79"/>
    </row>
    <row r="233" spans="1:86" ht="16.2" outlineLevel="1">
      <c r="A233" s="30" t="str">
        <f>E233&amp;G233</f>
        <v>lt007_instr_activitytyp_actvty</v>
      </c>
      <c r="B233" s="142" t="s">
        <v>26</v>
      </c>
      <c r="C233" s="138" t="s">
        <v>26</v>
      </c>
      <c r="D233" s="252" t="s">
        <v>40</v>
      </c>
      <c r="E233" s="256" t="s">
        <v>1957</v>
      </c>
      <c r="F233" s="256"/>
      <c r="G233" s="256" t="s">
        <v>384</v>
      </c>
      <c r="H233" s="254" t="str">
        <f>VLOOKUP(A233,'2. Status Detalhe Campos'!$A$7:$G$574,7,0)</f>
        <v>6. Em implementação (re-especificação)</v>
      </c>
      <c r="I233" s="153">
        <v>45593</v>
      </c>
      <c r="J233" s="234">
        <v>45624</v>
      </c>
      <c r="K233" s="228"/>
      <c r="L233" s="278">
        <f t="array" ref="L233">MIN(IF(V233:CH233&gt;0,$V$16:$CH$16))</f>
        <v>45645</v>
      </c>
      <c r="M233" s="277">
        <f t="array" ref="M233">MAX(IF(V233:CH233&gt;0,$V$16:$CH$16))</f>
        <v>45645</v>
      </c>
      <c r="N233" s="275">
        <f>VLOOKUP(H233,Auxiliar!$B$16:$E$24,4,0)</f>
        <v>0</v>
      </c>
      <c r="O233" s="275">
        <f t="shared" ca="1" si="62"/>
        <v>0</v>
      </c>
      <c r="P233" s="274">
        <f t="shared" ca="1" si="57"/>
        <v>0</v>
      </c>
      <c r="Q233" s="283" t="s">
        <v>38</v>
      </c>
      <c r="R233" s="229"/>
      <c r="S233" s="223">
        <v>4.0999999999999996</v>
      </c>
      <c r="T233" s="223">
        <f>ROUND(S233/8,1)</f>
        <v>0.5</v>
      </c>
      <c r="U233" s="223">
        <f>SUM(V233:CH233)-T233</f>
        <v>0</v>
      </c>
      <c r="V233" s="79"/>
      <c r="W233" s="79"/>
      <c r="X233" s="79"/>
      <c r="Y233" s="236"/>
      <c r="Z233" s="79"/>
      <c r="AA233" s="79"/>
      <c r="AB233" s="79"/>
      <c r="AC233" s="92"/>
      <c r="AD233" s="79"/>
      <c r="AE233" s="79"/>
      <c r="AF233" s="79"/>
      <c r="AG233" s="79"/>
      <c r="AH233" s="79"/>
      <c r="AI233" s="79"/>
      <c r="AJ233" s="79"/>
      <c r="AK233" s="79"/>
      <c r="AL233" s="79"/>
      <c r="AM233" s="79"/>
      <c r="AN233" s="79"/>
      <c r="AO233" s="79"/>
      <c r="AP233" s="79"/>
      <c r="AQ233" s="79"/>
      <c r="AR233" s="79"/>
      <c r="AS233" s="79"/>
      <c r="AT233" s="79"/>
      <c r="AU233" s="79"/>
      <c r="AV233" s="230"/>
      <c r="AW233" s="79"/>
      <c r="AX233" s="79"/>
      <c r="AY233" s="79"/>
      <c r="AZ233" s="79"/>
      <c r="BA233" s="79"/>
      <c r="BB233" s="79"/>
      <c r="BC233" s="79"/>
      <c r="BD233" s="79"/>
      <c r="BE233" s="79"/>
      <c r="BF233" s="79"/>
      <c r="BG233" s="79"/>
      <c r="BH233" s="79"/>
      <c r="BI233" s="79"/>
      <c r="BJ233" s="79"/>
      <c r="BK233" s="79">
        <v>0.5</v>
      </c>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outlineLevel="1">
      <c r="A234" s="30" t="str">
        <f>E234&amp;G234</f>
        <v>lt007_instr_activitysstnbl_indctr</v>
      </c>
      <c r="B234" s="142" t="s">
        <v>26</v>
      </c>
      <c r="C234" s="138" t="s">
        <v>26</v>
      </c>
      <c r="D234" s="252" t="s">
        <v>40</v>
      </c>
      <c r="E234" s="256" t="s">
        <v>1957</v>
      </c>
      <c r="F234" s="256"/>
      <c r="G234" s="256" t="s">
        <v>419</v>
      </c>
      <c r="H234" s="254" t="str">
        <f>VLOOKUP(A234,'2. Status Detalhe Campos'!$A$7:$G$574,7,0)</f>
        <v>6. Em implementação (re-especificação)</v>
      </c>
      <c r="I234" s="153">
        <v>45593</v>
      </c>
      <c r="J234" s="234">
        <v>45624</v>
      </c>
      <c r="K234" s="228"/>
      <c r="L234" s="278">
        <f t="array" ref="L234">MIN(IF(V234:CH234&gt;0,$V$16:$CH$16))</f>
        <v>45645</v>
      </c>
      <c r="M234" s="277">
        <f t="array" ref="M234">MAX(IF(V234:CH234&gt;0,$V$16:$CH$16))</f>
        <v>45645</v>
      </c>
      <c r="N234" s="275">
        <f>VLOOKUP(H234,Auxiliar!$B$16:$E$24,4,0)</f>
        <v>0</v>
      </c>
      <c r="O234" s="275">
        <f t="shared" ca="1" si="62"/>
        <v>0</v>
      </c>
      <c r="P234" s="274">
        <f t="shared" ca="1" si="57"/>
        <v>0</v>
      </c>
      <c r="Q234" s="283" t="s">
        <v>38</v>
      </c>
      <c r="R234" s="229"/>
      <c r="S234" s="232">
        <v>4.0999999999999996</v>
      </c>
      <c r="T234" s="223">
        <f t="shared" si="40"/>
        <v>0.5</v>
      </c>
      <c r="U234" s="223">
        <f>SUM(V234:CH234)-T234</f>
        <v>0</v>
      </c>
      <c r="V234" s="79"/>
      <c r="W234" s="79"/>
      <c r="X234" s="79"/>
      <c r="Y234" s="236"/>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230"/>
      <c r="AW234" s="79"/>
      <c r="AX234" s="79"/>
      <c r="AY234" s="79"/>
      <c r="AZ234" s="79"/>
      <c r="BA234" s="79"/>
      <c r="BB234" s="79"/>
      <c r="BC234" s="79"/>
      <c r="BD234" s="79"/>
      <c r="BE234" s="79"/>
      <c r="BF234" s="79"/>
      <c r="BG234" s="79"/>
      <c r="BH234" s="79"/>
      <c r="BI234" s="79"/>
      <c r="BJ234" s="79"/>
      <c r="BK234" s="79">
        <v>0.5</v>
      </c>
      <c r="BL234" s="79"/>
      <c r="BM234" s="79"/>
      <c r="BN234" s="92"/>
      <c r="BO234" s="92"/>
      <c r="BP234" s="92"/>
      <c r="BQ234" s="92"/>
      <c r="BR234" s="92"/>
      <c r="BS234" s="92"/>
      <c r="BT234" s="92"/>
      <c r="BU234" s="79"/>
      <c r="BV234" s="79"/>
      <c r="BW234" s="79"/>
      <c r="BX234" s="79"/>
      <c r="BY234" s="79"/>
      <c r="BZ234" s="79"/>
      <c r="CA234" s="79"/>
      <c r="CB234" s="79"/>
      <c r="CC234" s="79"/>
      <c r="CD234" s="79"/>
      <c r="CE234" s="79"/>
      <c r="CF234" s="79"/>
      <c r="CG234" s="79"/>
      <c r="CH234" s="79"/>
    </row>
    <row r="235" spans="1:86" ht="16.2" outlineLevel="1">
      <c r="A235" s="30" t="str">
        <f>E235&amp;G235</f>
        <v>lt007_instr_activitysstnbl_ctgry</v>
      </c>
      <c r="B235" s="142" t="s">
        <v>26</v>
      </c>
      <c r="C235" s="138" t="s">
        <v>26</v>
      </c>
      <c r="D235" s="252" t="s">
        <v>40</v>
      </c>
      <c r="E235" s="256" t="s">
        <v>1957</v>
      </c>
      <c r="F235" s="256"/>
      <c r="G235" s="256" t="s">
        <v>420</v>
      </c>
      <c r="H235" s="254" t="str">
        <f>VLOOKUP(A235,'2. Status Detalhe Campos'!$A$7:$G$574,7,0)</f>
        <v>6. Em implementação (re-especificação)</v>
      </c>
      <c r="I235" s="153">
        <v>45593</v>
      </c>
      <c r="J235" s="234">
        <v>45624</v>
      </c>
      <c r="K235" s="228"/>
      <c r="L235" s="278">
        <f t="array" ref="L235">MIN(IF(V235:CH235&gt;0,$V$16:$CH$16))</f>
        <v>45644</v>
      </c>
      <c r="M235" s="277">
        <f t="array" ref="M235">MAX(IF(V235:CH235&gt;0,$V$16:$CH$16))</f>
        <v>45644</v>
      </c>
      <c r="N235" s="275">
        <f>VLOOKUP(H235,Auxiliar!$B$16:$E$24,4,0)</f>
        <v>0</v>
      </c>
      <c r="O235" s="275">
        <f t="shared" ca="1" si="62"/>
        <v>0</v>
      </c>
      <c r="P235" s="274">
        <f t="shared" ca="1" si="57"/>
        <v>0</v>
      </c>
      <c r="Q235" s="283" t="s">
        <v>38</v>
      </c>
      <c r="R235" s="229"/>
      <c r="S235" s="232">
        <v>4.0999999999999996</v>
      </c>
      <c r="T235" s="223">
        <f t="shared" si="40"/>
        <v>0.5</v>
      </c>
      <c r="U235" s="223">
        <f>SUM(V235:CH235)-T235</f>
        <v>0</v>
      </c>
      <c r="V235" s="79"/>
      <c r="W235" s="79"/>
      <c r="X235" s="79"/>
      <c r="Y235" s="236"/>
      <c r="Z235" s="79"/>
      <c r="AA235" s="79"/>
      <c r="AB235" s="79"/>
      <c r="AC235" s="92"/>
      <c r="AD235" s="79"/>
      <c r="AE235" s="79"/>
      <c r="AF235" s="79"/>
      <c r="AG235" s="79"/>
      <c r="AH235" s="79"/>
      <c r="AI235" s="79"/>
      <c r="AJ235" s="79"/>
      <c r="AK235" s="79"/>
      <c r="AL235" s="79"/>
      <c r="AM235" s="79"/>
      <c r="AN235" s="79"/>
      <c r="AO235" s="79"/>
      <c r="AP235" s="79"/>
      <c r="AQ235" s="79"/>
      <c r="AR235" s="79"/>
      <c r="AS235" s="79"/>
      <c r="AT235" s="79"/>
      <c r="AU235" s="79"/>
      <c r="AV235" s="230"/>
      <c r="AW235" s="79"/>
      <c r="AX235" s="79"/>
      <c r="AY235" s="79"/>
      <c r="AZ235" s="79"/>
      <c r="BA235" s="79"/>
      <c r="BB235" s="79"/>
      <c r="BC235" s="79"/>
      <c r="BD235" s="79"/>
      <c r="BE235" s="79"/>
      <c r="BF235" s="79"/>
      <c r="BG235" s="79"/>
      <c r="BH235" s="79"/>
      <c r="BI235" s="79"/>
      <c r="BJ235" s="79">
        <v>0.5</v>
      </c>
      <c r="BK235" s="79"/>
      <c r="BL235" s="79"/>
      <c r="BM235" s="79"/>
      <c r="BN235" s="92"/>
      <c r="BO235" s="92"/>
      <c r="BP235" s="92"/>
      <c r="BQ235" s="92"/>
      <c r="BR235" s="92"/>
      <c r="BS235" s="92"/>
      <c r="BT235" s="92"/>
      <c r="BU235" s="79"/>
      <c r="BV235" s="79"/>
      <c r="BW235" s="79"/>
      <c r="BX235" s="79"/>
      <c r="BY235" s="79"/>
      <c r="BZ235" s="79"/>
      <c r="CA235" s="79"/>
      <c r="CB235" s="79"/>
      <c r="CC235" s="79"/>
      <c r="CD235" s="79"/>
      <c r="CE235" s="79"/>
      <c r="CF235" s="79"/>
      <c r="CG235" s="79"/>
      <c r="CH235" s="79"/>
    </row>
    <row r="236" spans="1:86" ht="16.2">
      <c r="A236" s="30" t="str">
        <f>E236&amp;G236</f>
        <v>munichRetbd</v>
      </c>
      <c r="B236" s="142" t="s">
        <v>26</v>
      </c>
      <c r="C236" s="138" t="s">
        <v>181</v>
      </c>
      <c r="D236" s="134" t="s">
        <v>40</v>
      </c>
      <c r="E236" s="262" t="s">
        <v>1959</v>
      </c>
      <c r="F236" s="259" t="s">
        <v>1981</v>
      </c>
      <c r="G236" s="262" t="s">
        <v>1960</v>
      </c>
      <c r="H236" s="280"/>
      <c r="I236" s="258">
        <v>45574</v>
      </c>
      <c r="J236" s="330">
        <v>45631</v>
      </c>
      <c r="K236" s="228"/>
      <c r="L236" s="292">
        <f t="array" ref="L236">MIN(IF(V236:CH236&gt;0,$V$16:$CH$16))</f>
        <v>45659</v>
      </c>
      <c r="M236" s="295">
        <f t="array" ref="M236">MAX(IF(V236:CH236&gt;0,$V$16:$CH$16))</f>
        <v>45660</v>
      </c>
      <c r="N236" s="281">
        <v>0</v>
      </c>
      <c r="O236" s="281">
        <f t="shared" ca="1" si="62"/>
        <v>0</v>
      </c>
      <c r="P236" s="274">
        <f t="shared" ca="1" si="57"/>
        <v>0</v>
      </c>
      <c r="Q236" s="283" t="s">
        <v>38</v>
      </c>
      <c r="R236" s="229"/>
      <c r="S236" s="223"/>
      <c r="T236" s="223"/>
      <c r="U236" s="223"/>
      <c r="V236" s="79"/>
      <c r="W236" s="79"/>
      <c r="X236" s="79"/>
      <c r="Y236" s="79"/>
      <c r="Z236" s="79"/>
      <c r="AA236" s="79"/>
      <c r="AB236" s="79"/>
      <c r="AC236" s="92"/>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230"/>
      <c r="BA236" s="79"/>
      <c r="BB236" s="79"/>
      <c r="BC236" s="79"/>
      <c r="BD236" s="79"/>
      <c r="BE236" s="79"/>
      <c r="BF236" s="79"/>
      <c r="BG236" s="79"/>
      <c r="BH236" s="79"/>
      <c r="BI236" s="79"/>
      <c r="BJ236" s="79"/>
      <c r="BK236" s="79"/>
      <c r="BL236" s="79"/>
      <c r="BM236" s="79"/>
      <c r="BN236" s="92"/>
      <c r="BO236" s="92"/>
      <c r="BP236" s="92"/>
      <c r="BQ236" s="92"/>
      <c r="BR236" s="92"/>
      <c r="BS236" s="92"/>
      <c r="BT236" s="92"/>
      <c r="BU236" s="79">
        <v>2</v>
      </c>
      <c r="BV236" s="79">
        <v>2</v>
      </c>
      <c r="BW236" s="79"/>
      <c r="BX236" s="79"/>
      <c r="BY236" s="79"/>
      <c r="BZ236" s="79"/>
      <c r="CA236" s="79"/>
      <c r="CB236" s="79"/>
      <c r="CC236" s="79"/>
      <c r="CD236" s="79"/>
      <c r="CE236" s="79"/>
      <c r="CF236" s="79"/>
      <c r="CG236" s="79"/>
      <c r="CH236" s="79"/>
    </row>
    <row r="237" spans="1:86" ht="16.2">
      <c r="A237" s="30"/>
      <c r="B237" s="142" t="s">
        <v>26</v>
      </c>
      <c r="C237" s="138" t="s">
        <v>34</v>
      </c>
      <c r="D237" s="134"/>
      <c r="E237" s="262" t="s">
        <v>2007</v>
      </c>
      <c r="F237" s="259" t="s">
        <v>1981</v>
      </c>
      <c r="G237" s="262" t="s">
        <v>1960</v>
      </c>
      <c r="H237" s="136"/>
      <c r="I237" s="330">
        <v>45604</v>
      </c>
      <c r="J237" s="330">
        <v>45624</v>
      </c>
      <c r="K237" s="228"/>
      <c r="L237" s="292">
        <f t="array" ref="L237">MIN(IF(V237:CH237&gt;0,$V$16:$CH$16))</f>
        <v>45659</v>
      </c>
      <c r="M237" s="295">
        <f t="array" ref="M237">MAX(IF(V237:CH237&gt;0,$V$16:$CH$16))</f>
        <v>45660</v>
      </c>
      <c r="N237" s="281">
        <v>0</v>
      </c>
      <c r="O237" s="281">
        <v>0</v>
      </c>
      <c r="P237" s="274">
        <f t="shared" si="57"/>
        <v>0</v>
      </c>
      <c r="Q237" s="283" t="s">
        <v>38</v>
      </c>
      <c r="R237" s="229"/>
      <c r="S237" s="223"/>
      <c r="T237" s="223"/>
      <c r="U237" s="223"/>
      <c r="V237" s="79"/>
      <c r="W237" s="79"/>
      <c r="X237" s="79"/>
      <c r="Y237" s="79"/>
      <c r="Z237" s="79"/>
      <c r="AA237" s="79"/>
      <c r="AB237" s="79"/>
      <c r="AC237" s="92"/>
      <c r="AD237" s="79"/>
      <c r="AE237" s="79"/>
      <c r="AF237" s="79"/>
      <c r="AG237" s="79"/>
      <c r="AH237" s="236"/>
      <c r="AI237" s="79"/>
      <c r="AJ237" s="79"/>
      <c r="AK237" s="79"/>
      <c r="AL237" s="79"/>
      <c r="AM237" s="79"/>
      <c r="AN237" s="79"/>
      <c r="AO237" s="79"/>
      <c r="AP237" s="79"/>
      <c r="AQ237" s="79"/>
      <c r="AR237" s="79"/>
      <c r="AS237" s="79"/>
      <c r="AT237" s="79"/>
      <c r="AU237" s="79"/>
      <c r="AV237" s="230"/>
      <c r="AW237" s="79"/>
      <c r="AX237" s="79"/>
      <c r="AY237" s="79"/>
      <c r="AZ237" s="79"/>
      <c r="BA237" s="79"/>
      <c r="BB237" s="79"/>
      <c r="BC237" s="79"/>
      <c r="BD237" s="79"/>
      <c r="BE237" s="79"/>
      <c r="BF237" s="79"/>
      <c r="BG237" s="79"/>
      <c r="BH237" s="79"/>
      <c r="BI237" s="79"/>
      <c r="BJ237" s="79"/>
      <c r="BK237" s="79"/>
      <c r="BL237" s="79"/>
      <c r="BM237" s="79"/>
      <c r="BN237" s="92"/>
      <c r="BO237" s="92"/>
      <c r="BP237" s="92"/>
      <c r="BQ237" s="92"/>
      <c r="BR237" s="92"/>
      <c r="BS237" s="92"/>
      <c r="BT237" s="92"/>
      <c r="BU237" s="79">
        <v>1</v>
      </c>
      <c r="BV237" s="79">
        <v>1</v>
      </c>
      <c r="BW237" s="79"/>
      <c r="BX237" s="79"/>
      <c r="BY237" s="79"/>
      <c r="BZ237" s="79"/>
      <c r="CA237" s="79"/>
      <c r="CB237" s="79"/>
      <c r="CC237" s="79"/>
      <c r="CD237" s="79"/>
      <c r="CE237" s="79"/>
      <c r="CF237" s="79"/>
      <c r="CG237" s="79"/>
      <c r="CH237" s="79"/>
    </row>
    <row r="238" spans="1:86" ht="16.2">
      <c r="A238" s="30"/>
      <c r="B238" s="142" t="s">
        <v>26</v>
      </c>
      <c r="C238" s="138" t="s">
        <v>54</v>
      </c>
      <c r="D238" s="134"/>
      <c r="E238" s="262" t="s">
        <v>94</v>
      </c>
      <c r="F238" s="259" t="s">
        <v>1981</v>
      </c>
      <c r="G238" s="262">
        <v>1</v>
      </c>
      <c r="H238" s="136"/>
      <c r="I238" s="330">
        <v>45604</v>
      </c>
      <c r="J238" s="330">
        <v>45631</v>
      </c>
      <c r="K238" s="228"/>
      <c r="L238" s="292"/>
      <c r="M238" s="295"/>
      <c r="N238" s="281">
        <v>0</v>
      </c>
      <c r="O238" s="281">
        <v>0</v>
      </c>
      <c r="P238" s="274">
        <f t="shared" ref="P238" si="63">N238-O238</f>
        <v>0</v>
      </c>
      <c r="Q238" s="283" t="s">
        <v>2016</v>
      </c>
      <c r="R238" s="229"/>
      <c r="S238" s="223"/>
      <c r="T238" s="223"/>
      <c r="U238" s="223"/>
      <c r="V238" s="79"/>
      <c r="W238" s="79"/>
      <c r="X238" s="79"/>
      <c r="Y238" s="79"/>
      <c r="Z238" s="79"/>
      <c r="AA238" s="79"/>
      <c r="AB238" s="79"/>
      <c r="AC238" s="92"/>
      <c r="AD238" s="79"/>
      <c r="AE238" s="79"/>
      <c r="AF238" s="79"/>
      <c r="AG238" s="79"/>
      <c r="AH238" s="236"/>
      <c r="AI238" s="79"/>
      <c r="AJ238" s="79"/>
      <c r="AK238" s="79"/>
      <c r="AL238" s="79"/>
      <c r="AM238" s="79"/>
      <c r="AN238" s="79"/>
      <c r="AO238" s="79"/>
      <c r="AP238" s="79"/>
      <c r="AQ238" s="79"/>
      <c r="AR238" s="79"/>
      <c r="AS238" s="79"/>
      <c r="AT238" s="79"/>
      <c r="AU238" s="79"/>
      <c r="AV238" s="79"/>
      <c r="AW238" s="79"/>
      <c r="AX238" s="79"/>
      <c r="AY238" s="79"/>
      <c r="AZ238" s="79"/>
      <c r="BA238" s="230"/>
      <c r="BB238" s="79"/>
      <c r="BC238" s="79"/>
      <c r="BD238" s="79"/>
      <c r="BE238" s="79"/>
      <c r="BF238" s="79"/>
      <c r="BG238" s="79"/>
      <c r="BH238" s="79"/>
      <c r="BI238" s="79"/>
      <c r="BJ238" s="79"/>
      <c r="BK238" s="79"/>
      <c r="BL238" s="79"/>
      <c r="BM238" s="79"/>
      <c r="BN238" s="92"/>
      <c r="BO238" s="92"/>
      <c r="BP238" s="92"/>
      <c r="BQ238" s="92"/>
      <c r="BR238" s="92"/>
      <c r="BS238" s="92"/>
      <c r="BT238" s="92"/>
      <c r="BU238" s="79"/>
      <c r="BV238" s="79"/>
      <c r="BW238" s="79"/>
      <c r="BX238" s="79"/>
      <c r="BY238" s="79"/>
      <c r="BZ238" s="79"/>
      <c r="CA238" s="79"/>
      <c r="CB238" s="79"/>
      <c r="CC238" s="79"/>
      <c r="CD238" s="79"/>
      <c r="CE238" s="79"/>
      <c r="CF238" s="79"/>
      <c r="CG238" s="79"/>
      <c r="CH238" s="79"/>
    </row>
    <row r="239" spans="1:86" ht="16.2">
      <c r="A239" s="30"/>
      <c r="B239" s="142" t="s">
        <v>26</v>
      </c>
      <c r="C239" s="138" t="s">
        <v>1979</v>
      </c>
      <c r="D239" s="134"/>
      <c r="E239" s="262" t="s">
        <v>1961</v>
      </c>
      <c r="F239" s="137"/>
      <c r="G239" s="137"/>
      <c r="H239" s="136"/>
      <c r="I239" s="228"/>
      <c r="J239" s="153"/>
      <c r="K239" s="228"/>
      <c r="L239" s="296"/>
      <c r="M239" s="296"/>
      <c r="N239" s="274"/>
      <c r="O239" s="274"/>
      <c r="P239" s="274"/>
      <c r="Q239" s="274"/>
      <c r="R239" s="229"/>
      <c r="S239" s="223">
        <f>SUM(S18:S236)*0.3</f>
        <v>259.50000000000063</v>
      </c>
      <c r="T239" s="223">
        <f t="shared" si="40"/>
        <v>32.4</v>
      </c>
      <c r="U239" s="223">
        <f>SUM(V239:CH239)-T239</f>
        <v>0.60000000000000142</v>
      </c>
      <c r="V239" s="79"/>
      <c r="W239" s="79"/>
      <c r="X239" s="79"/>
      <c r="Y239" s="79"/>
      <c r="Z239" s="79"/>
      <c r="AA239" s="79"/>
      <c r="AB239" s="79"/>
      <c r="AC239" s="92"/>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79"/>
      <c r="AZ239" s="79"/>
      <c r="BA239" s="79"/>
      <c r="BB239" s="79"/>
      <c r="BC239" s="79"/>
      <c r="BD239" s="79"/>
      <c r="BE239" s="79"/>
      <c r="BF239" s="79"/>
      <c r="BG239" s="79"/>
      <c r="BH239" s="79"/>
      <c r="BI239" s="79"/>
      <c r="BJ239" s="79"/>
      <c r="BK239" s="79"/>
      <c r="BL239" s="79"/>
      <c r="BM239" s="79"/>
      <c r="BN239" s="92"/>
      <c r="BO239" s="92"/>
      <c r="BP239" s="92"/>
      <c r="BQ239" s="92"/>
      <c r="BR239" s="92"/>
      <c r="BS239" s="92"/>
      <c r="BT239" s="92"/>
      <c r="BU239" s="79"/>
      <c r="BV239" s="79"/>
      <c r="BW239" s="79">
        <v>2</v>
      </c>
      <c r="BX239" s="79">
        <v>3</v>
      </c>
      <c r="BY239" s="79">
        <v>3</v>
      </c>
      <c r="BZ239" s="79">
        <v>3</v>
      </c>
      <c r="CA239" s="79">
        <v>3</v>
      </c>
      <c r="CB239" s="79">
        <v>3</v>
      </c>
      <c r="CC239" s="79">
        <v>3</v>
      </c>
      <c r="CD239" s="79">
        <v>3</v>
      </c>
      <c r="CE239" s="79">
        <v>3</v>
      </c>
      <c r="CF239" s="79">
        <v>3</v>
      </c>
      <c r="CG239" s="79">
        <v>3</v>
      </c>
      <c r="CH239" s="79">
        <v>1</v>
      </c>
    </row>
  </sheetData>
  <conditionalFormatting sqref="V17:CH29 AN148:BS151 BT148:CH153 V148:AM160 AO152:BS160 V153:AS160 BT162:CH163 AE30:AG52 V30:X52 Z30:AC52 V53:AG69 AI53:CH69 V70:AK78 AM71:CH78 AN70:CH70 V125:CH147 V117:AI124 AK117:CH124 V220:AL230 AN220:CH230 V211:CH219 V204:AL210 AN204:CH210 V162:AL166 AN163:CH166 AI30:AO52 AQ30:CH52 V84:AN104 AP84:CH104 V231:CH239 V105:CH116 V167:CH203 AN162:BS166 V79:CH83">
    <cfRule type="cellIs" dxfId="167" priority="49" operator="greaterThan">
      <formula>0</formula>
    </cfRule>
  </conditionalFormatting>
  <conditionalFormatting sqref="U17:U239">
    <cfRule type="cellIs" dxfId="166" priority="51" operator="notEqual">
      <formula>0</formula>
    </cfRule>
  </conditionalFormatting>
  <conditionalFormatting sqref="V220:AL220 AN220:BS220">
    <cfRule type="cellIs" dxfId="165" priority="40" operator="greaterThan">
      <formula>0</formula>
    </cfRule>
  </conditionalFormatting>
  <conditionalFormatting sqref="V231:BS231">
    <cfRule type="cellIs" dxfId="164" priority="38" operator="greaterThan">
      <formula>0</formula>
    </cfRule>
  </conditionalFormatting>
  <conditionalFormatting sqref="V154:CH160 V161:AL161 AN161:CH161">
    <cfRule type="cellIs" dxfId="163" priority="37" operator="greaterThan">
      <formula>0</formula>
    </cfRule>
  </conditionalFormatting>
  <conditionalFormatting sqref="X6:CH6 X9:CH10">
    <cfRule type="cellIs" dxfId="162" priority="50" operator="notEqual">
      <formula>0</formula>
    </cfRule>
  </conditionalFormatting>
  <conditionalFormatting sqref="AH30">
    <cfRule type="cellIs" dxfId="161" priority="36" operator="greaterThan">
      <formula>0</formula>
    </cfRule>
  </conditionalFormatting>
  <conditionalFormatting sqref="AH31:AH52">
    <cfRule type="cellIs" dxfId="160" priority="35" operator="greaterThan">
      <formula>0</formula>
    </cfRule>
  </conditionalFormatting>
  <conditionalFormatting sqref="Y30:Y52">
    <cfRule type="cellIs" dxfId="159" priority="29" operator="greaterThan">
      <formula>0</formula>
    </cfRule>
  </conditionalFormatting>
  <conditionalFormatting sqref="AD30:AD52">
    <cfRule type="cellIs" dxfId="158" priority="24" operator="greaterThan">
      <formula>0</formula>
    </cfRule>
  </conditionalFormatting>
  <conditionalFormatting sqref="AH53">
    <cfRule type="cellIs" dxfId="157" priority="23" operator="greaterThan">
      <formula>0</formula>
    </cfRule>
  </conditionalFormatting>
  <conditionalFormatting sqref="AH54:AH69">
    <cfRule type="cellIs" dxfId="156" priority="22" operator="greaterThan">
      <formula>0</formula>
    </cfRule>
  </conditionalFormatting>
  <conditionalFormatting sqref="AL70:AL78">
    <cfRule type="cellIs" dxfId="155" priority="21" operator="greaterThan">
      <formula>0</formula>
    </cfRule>
  </conditionalFormatting>
  <conditionalFormatting sqref="AM70">
    <cfRule type="cellIs" dxfId="154" priority="20" operator="greaterThan">
      <formula>0</formula>
    </cfRule>
  </conditionalFormatting>
  <conditionalFormatting sqref="AJ119:AJ120">
    <cfRule type="cellIs" dxfId="153" priority="19" operator="greaterThan">
      <formula>0</formula>
    </cfRule>
  </conditionalFormatting>
  <conditionalFormatting sqref="AJ117:AJ118">
    <cfRule type="cellIs" dxfId="152" priority="18" operator="greaterThan">
      <formula>0</formula>
    </cfRule>
  </conditionalFormatting>
  <conditionalFormatting sqref="AJ121:AJ124">
    <cfRule type="cellIs" dxfId="151" priority="17" operator="greaterThan">
      <formula>0</formula>
    </cfRule>
  </conditionalFormatting>
  <conditionalFormatting sqref="AM220">
    <cfRule type="cellIs" dxfId="150" priority="16" operator="greaterThan">
      <formula>0</formula>
    </cfRule>
  </conditionalFormatting>
  <conditionalFormatting sqref="AM221">
    <cfRule type="cellIs" dxfId="149" priority="15" operator="greaterThan">
      <formula>0</formula>
    </cfRule>
  </conditionalFormatting>
  <conditionalFormatting sqref="AM222:AM230">
    <cfRule type="cellIs" dxfId="148" priority="14" operator="greaterThan">
      <formula>0</formula>
    </cfRule>
  </conditionalFormatting>
  <conditionalFormatting sqref="AM205">
    <cfRule type="cellIs" dxfId="147" priority="13" operator="greaterThan">
      <formula>0</formula>
    </cfRule>
  </conditionalFormatting>
  <conditionalFormatting sqref="AM204">
    <cfRule type="cellIs" dxfId="146" priority="12" operator="greaterThan">
      <formula>0</formula>
    </cfRule>
  </conditionalFormatting>
  <conditionalFormatting sqref="AM206">
    <cfRule type="cellIs" dxfId="145" priority="11" operator="greaterThan">
      <formula>0</formula>
    </cfRule>
  </conditionalFormatting>
  <conditionalFormatting sqref="AM207:AM210">
    <cfRule type="cellIs" dxfId="144" priority="10" operator="greaterThan">
      <formula>0</formula>
    </cfRule>
  </conditionalFormatting>
  <conditionalFormatting sqref="AM161:AM166">
    <cfRule type="cellIs" dxfId="143" priority="9" operator="greaterThan">
      <formula>0</formula>
    </cfRule>
  </conditionalFormatting>
  <conditionalFormatting sqref="AZ236">
    <cfRule type="cellIs" dxfId="142" priority="1" operator="greaterThan">
      <formula>0</formula>
    </cfRule>
  </conditionalFormatting>
  <conditionalFormatting sqref="AP30">
    <cfRule type="cellIs" dxfId="141" priority="8" operator="greaterThan">
      <formula>0</formula>
    </cfRule>
  </conditionalFormatting>
  <conditionalFormatting sqref="AP31:AP52">
    <cfRule type="cellIs" dxfId="140" priority="7" operator="greaterThan">
      <formula>0</formula>
    </cfRule>
  </conditionalFormatting>
  <conditionalFormatting sqref="AO84">
    <cfRule type="cellIs" dxfId="139" priority="6" operator="greaterThan">
      <formula>0</formula>
    </cfRule>
  </conditionalFormatting>
  <conditionalFormatting sqref="AO86:AO104">
    <cfRule type="cellIs" dxfId="138" priority="5" operator="greaterThan">
      <formula>0</formula>
    </cfRule>
  </conditionalFormatting>
  <conditionalFormatting sqref="AO85">
    <cfRule type="cellIs" dxfId="137" priority="4" operator="greaterThan">
      <formula>0</formula>
    </cfRule>
  </conditionalFormatting>
  <conditionalFormatting sqref="BA238">
    <cfRule type="cellIs" dxfId="136" priority="3" operator="greaterThan">
      <formula>0</formula>
    </cfRule>
  </conditionalFormatting>
  <conditionalFormatting sqref="AV237">
    <cfRule type="cellIs" dxfId="135" priority="2"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1962</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1968</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1969</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1970</v>
      </c>
      <c r="C19" s="248" t="s">
        <v>1968</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1970</v>
      </c>
      <c r="C20" s="248" t="s">
        <v>1969</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1970</v>
      </c>
      <c r="C21" s="248" t="s">
        <v>1971</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1970</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1968</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1969</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1971</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1973</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1968</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1974</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1975</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1968</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1976</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2001</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44"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25" priority="2" operator="greaterThan">
      <formula>0</formula>
    </cfRule>
  </conditionalFormatting>
  <conditionalFormatting sqref="G7:BB7">
    <cfRule type="cellIs" dxfId="24"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www.w3.org/XML/1998/namespace"/>
    <ds:schemaRef ds:uri="http://schemas.microsoft.com/office/2006/documentManagement/types"/>
    <ds:schemaRef ds:uri="6ea7b29d-57ec-408d-9ea9-cf73b04f66d5"/>
    <ds:schemaRef ds:uri="http://purl.org/dc/elements/1.1/"/>
    <ds:schemaRef ds:uri="http://purl.org/dc/dcmitype/"/>
    <ds:schemaRef ds:uri="http://purl.org/dc/terms/"/>
    <ds:schemaRef ds:uri="0683c779-04fc-4b63-89c9-6c25ffa1c0a4"/>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93ABBFDD-53B9-4143-9A2A-3E3911F0B6D1}"/>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2024-11-25T00:26:14Z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