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6"/>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07" r:id="rId12"/>
    <pivotCache cacheId="210" r:id="rId13"/>
    <pivotCache cacheId="213" r:id="rId14"/>
    <pivotCache cacheId="216" r:id="rId15"/>
    <pivotCache cacheId="219" r:id="rId16"/>
    <pivotCache cacheId="222" r:id="rId17"/>
    <pivotCache cacheId="225" r:id="rId18"/>
    <pivotCache cacheId="23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5" i="21" l="1"/>
  <c r="G168" i="21"/>
  <c r="U167" i="21"/>
  <c r="V167" i="21" s="1"/>
  <c r="A167" i="21"/>
  <c r="G138" i="21"/>
  <c r="G140" i="21"/>
  <c r="G159" i="21"/>
  <c r="G163" i="21"/>
  <c r="M39" i="15" l="1"/>
  <c r="M47" i="15"/>
  <c r="M46" i="15"/>
  <c r="M45" i="15"/>
  <c r="P38" i="15"/>
  <c r="P36" i="15"/>
  <c r="J39" i="15"/>
  <c r="U62" i="15"/>
  <c r="K227"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K48" i="15" l="1"/>
  <c r="N39" i="15"/>
  <c r="P39" i="15"/>
  <c r="T25" i="15"/>
  <c r="T24" i="15"/>
  <c r="T23" i="15"/>
  <c r="T22" i="15"/>
  <c r="T21" i="15"/>
  <c r="T20" i="15"/>
  <c r="T19" i="15"/>
  <c r="T18" i="15"/>
  <c r="T17" i="15"/>
  <c r="T63" i="15"/>
  <c r="F36" i="15" s="1"/>
  <c r="U16" i="15"/>
  <c r="T26" i="15" l="1"/>
  <c r="K172" i="21"/>
  <c r="K168" i="21" s="1"/>
  <c r="K165" i="2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9" i="21" s="1"/>
  <c r="O169" i="21" s="1"/>
  <c r="G589" i="20"/>
  <c r="G562" i="17" s="1"/>
  <c r="H170" i="21" s="1"/>
  <c r="O170" i="21" s="1"/>
  <c r="G591" i="20"/>
  <c r="G564" i="17" s="1"/>
  <c r="H171" i="21" s="1"/>
  <c r="O171"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V71" i="15" s="1"/>
  <c r="U23" i="15"/>
  <c r="V23" i="15" s="1"/>
  <c r="U19" i="15"/>
  <c r="V19" i="15" s="1"/>
  <c r="U64" i="15"/>
  <c r="U68" i="15"/>
  <c r="V68" i="15" s="1"/>
  <c r="U22" i="15"/>
  <c r="V22" i="15" s="1"/>
  <c r="U18" i="15"/>
  <c r="V18" i="15" s="1"/>
  <c r="U65" i="15"/>
  <c r="U69" i="15"/>
  <c r="V69" i="15" s="1"/>
  <c r="U25" i="15"/>
  <c r="V25" i="15" s="1"/>
  <c r="U21" i="15"/>
  <c r="V21" i="15" s="1"/>
  <c r="U17" i="15"/>
  <c r="U66" i="15"/>
  <c r="V66" i="15" s="1"/>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87" i="15"/>
  <c r="F46" i="15" s="1"/>
  <c r="U92" i="15"/>
  <c r="V92" i="15" s="1"/>
  <c r="U93" i="15"/>
  <c r="V93" i="15" s="1"/>
  <c r="U88"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P189" i="21"/>
  <c r="Q189"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L135" i="21" s="1"/>
  <c r="M137" i="21" a="1"/>
  <c r="M137" i="21" s="1"/>
  <c r="M132" i="21" a="1"/>
  <c r="M132" i="21" s="1"/>
  <c r="M105" i="21" a="1"/>
  <c r="M105" i="21" s="1"/>
  <c r="M104" i="21" s="1"/>
  <c r="L167" i="21" a="1"/>
  <c r="L167" i="21" s="1"/>
  <c r="P167" i="21" s="1"/>
  <c r="Q167" i="21" s="1"/>
  <c r="P193" i="21"/>
  <c r="Q193" i="21" s="1"/>
  <c r="L107" i="21" a="1"/>
  <c r="L107" i="21" s="1"/>
  <c r="M57" i="21" a="1"/>
  <c r="M57" i="21" s="1"/>
  <c r="L141" i="21" a="1"/>
  <c r="L141" i="21" s="1"/>
  <c r="M189" i="21" a="1"/>
  <c r="M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L140" i="21" s="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65" i="21" l="1"/>
  <c r="L163" i="21" s="1"/>
  <c r="L159" i="21" s="1"/>
  <c r="Q166" i="21"/>
  <c r="P165"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8" i="21" l="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<sst xmlns="http://schemas.openxmlformats.org/spreadsheetml/2006/main" count="29430" uniqueCount="2074">
  <si>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</si>
  <si>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</si>
  <si>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</si>
  <si>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</si>
  <si>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</si>
  <si>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</si>
  <si>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</si>
  <si>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</si>
  <si>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</si>
  <si>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</si>
  <si>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</si>
  <si>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</si>
  <si>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</si>
  <si>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</si>
  <si>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</si>
  <si>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</si>
  <si>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</si>
  <si>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</si>
  <si>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</si>
  <si>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</si>
  <si>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</si>
  <si>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</si>
  <si>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</si>
  <si>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</si>
  <si>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</si>
  <si>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</si>
  <si>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</si>
  <si>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</si>
  <si>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</si>
  <si>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</si>
  <si>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</si>
  <si>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</si>
  <si>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</si>
  <si>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</si>
  <si>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</si>
  <si>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</si>
  <si>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</si>
  <si>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</si>
  <si>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</si>
  <si>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</si>
  <si>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</si>
  <si>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</si>
  <si>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</si>
  <si>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</si>
  <si>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</si>
  <si>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</si>
  <si>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</si>
  <si>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</si>
  <si>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</si>
  <si>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</si>
  <si>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</si>
  <si>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</si>
  <si>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</si>
  <si>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</si>
  <si>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</si>
  <si>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</si>
  <si>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</si>
  <si>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</si>
  <si>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</si>
  <si>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</si>
  <si>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</si>
  <si>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</si>
  <si>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</si>
  <si>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</si>
  <si>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</si>
  <si>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</si>
  <si>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</si>
  <si>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</si>
  <si>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</si>
  <si>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</si>
  <si>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</si>
  <si>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</si>
  <si>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</si>
  <si>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</si>
  <si>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</si>
  <si>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</si>
  <si>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</si>
  <si>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</si>
  <si>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</si>
  <si>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</si>
  <si>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</si>
  <si>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</si>
  <si>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</si>
  <si>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</si>
  <si>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</si>
  <si>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</si>
  <si>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</si>
  <si>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</si>
  <si>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</si>
  <si>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</si>
  <si>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</si>
  <si>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</si>
  <si>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</si>
  <si>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</si>
  <si>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</si>
  <si>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</si>
  <si>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</si>
  <si>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</si>
  <si>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</si>
  <si>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</si>
  <si>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</si>
  <si>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</si>
  <si>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</si>
  <si>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</si>
  <si>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</si>
  <si>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</si>
  <si>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</si>
  <si>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</si>
  <si>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</si>
  <si>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</si>
  <si>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</si>
  <si>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</si>
  <si>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</si>
  <si>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</si>
  <si>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</si>
  <si>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</si>
  <si>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</si>
  <si>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</si>
  <si>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</si>
  <si>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</si>
  <si>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</si>
  <si>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</si>
  <si>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</si>
  <si>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</si>
  <si>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</si>
  <si>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</si>
  <si>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</si>
  <si>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</si>
  <si>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</si>
  <si>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</si>
  <si>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</si>
  <si>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</si>
  <si>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</si>
  <si>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</si>
  <si>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</si>
  <si>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</si>
  <si>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</si>
  <si>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</si>
  <si>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</si>
  <si>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</si>
  <si>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</si>
  <si>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</si>
  <si>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</si>
  <si>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</si>
  <si>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</si>
  <si>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</si>
  <si>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</si>
  <si>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</si>
  <si>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</si>
  <si>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</si>
  <si>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</si>
  <si>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</si>
  <si>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</si>
  <si>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</si>
  <si>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</si>
  <si>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</si>
  <si>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</si>
  <si>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</si>
  <si>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</si>
  <si>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</si>
  <si>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</si>
  <si>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</si>
  <si>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</si>
  <si>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</si>
  <si>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</si>
  <si>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</si>
  <si>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</si>
  <si>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</si>
  <si>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</si>
  <si>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</si>
  <si>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</si>
  <si>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</si>
  <si>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</si>
  <si>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</si>
  <si>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</si>
  <si>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</si>
  <si>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</si>
  <si>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</si>
  <si>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</si>
  <si>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</si>
  <si>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</si>
  <si>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</si>
  <si>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</si>
  <si>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</si>
  <si>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</si>
  <si>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</si>
  <si>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</si>
  <si>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</si>
  <si>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</si>
  <si>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</si>
  <si>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</si>
  <si>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</si>
  <si>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</si>
  <si>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</si>
  <si>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</si>
  <si>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</si>
  <si>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</si>
  <si>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</si>
  <si>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</si>
  <si>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</si>
  <si>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</si>
  <si>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</si>
  <si>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</si>
  <si>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</si>
  <si>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</si>
  <si>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</si>
  <si>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</si>
  <si>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</si>
  <si>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</si>
  <si>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</si>
  <si>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</si>
  <si>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</si>
  <si>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</si>
  <si>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</si>
  <si>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</si>
  <si>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</si>
  <si>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</si>
  <si>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</si>
  <si>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</si>
  <si>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</si>
  <si>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</si>
  <si>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</si>
  <si>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</si>
  <si>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</si>
  <si>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</si>
  <si>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</si>
  <si>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</si>
  <si>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</si>
  <si>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</si>
  <si>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</si>
  <si>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</si>
  <si>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</si>
  <si>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</si>
  <si>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</si>
  <si>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</si>
  <si>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</si>
  <si>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</si>
  <si>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</si>
  <si>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</si>
  <si>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</si>
  <si>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</si>
  <si>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</si>
  <si>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</si>
  <si>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</si>
  <si>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</si>
  <si>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</si>
  <si>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</si>
  <si>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</si>
  <si>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</si>
  <si>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</si>
  <si>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</si>
  <si>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</si>
  <si>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</si>
  <si>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</si>
  <si>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</si>
  <si>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</si>
  <si>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</si>
  <si>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</si>
  <si>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</si>
  <si>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</si>
  <si>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</si>
  <si>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</si>
  <si>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</si>
  <si>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</si>
  <si>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</si>
  <si>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</si>
  <si>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</si>
  <si>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</si>
  <si>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</si>
  <si>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</si>
  <si>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</si>
  <si>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</si>
  <si>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</si>
  <si>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</si>
  <si>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</si>
  <si>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</si>
  <si>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</si>
  <si>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</si>
  <si>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</si>
  <si>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</si>
  <si>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</si>
  <si>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</si>
  <si>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</si>
  <si>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</si>
  <si>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</si>
  <si>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</si>
  <si>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</si>
  <si>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</si>
  <si>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</si>
  <si>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</si>
  <si>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</si>
  <si>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</si>
  <si>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</si>
  <si>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</si>
  <si>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</si>
  <si>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</si>
  <si>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</si>
  <si>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</si>
  <si>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</si>
  <si>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</si>
  <si>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</si>
  <si>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</si>
  <si>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</si>
  <si>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</si>
  <si>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</si>
  <si>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</si>
  <si>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</si>
  <si>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</si>
  <si>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</si>
  <si>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</si>
  <si>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</si>
  <si>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</si>
  <si>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</si>
  <si>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</si>
  <si>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</si>
  <si>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</si>
  <si>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</si>
  <si>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</si>
  <si>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</si>
  <si>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</si>
  <si>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</si>
  <si>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</si>
  <si>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</si>
  <si>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</si>
  <si>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</si>
  <si>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</si>
  <si>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</si>
  <si>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</si>
  <si>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</si>
  <si>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</si>
  <si>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</si>
  <si>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</si>
  <si>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</si>
  <si>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</si>
  <si>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</si>
  <si>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</si>
  <si>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</si>
  <si>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</si>
  <si>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</si>
  <si>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</si>
  <si>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</si>
  <si>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</si>
  <si>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</si>
  <si>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</si>
  <si>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</si>
  <si>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</si>
  <si>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</si>
  <si>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</si>
  <si>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</si>
  <si>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</si>
  <si>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</si>
  <si>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</si>
  <si>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</si>
  <si>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</si>
  <si>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</si>
  <si>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</si>
  <si>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</si>
  <si>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</si>
  <si>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</si>
  <si>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</si>
  <si>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</si>
  <si>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</si>
  <si>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</si>
  <si>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</si>
  <si>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</si>
  <si>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</si>
  <si>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</si>
  <si>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</si>
  <si>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</si>
  <si>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</si>
  <si>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</si>
  <si>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</si>
  <si>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</si>
  <si>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</si>
  <si>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</si>
  <si>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</si>
  <si>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</si>
  <si>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</si>
  <si>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</si>
  <si>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</si>
  <si>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</si>
  <si>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</si>
  <si>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</si>
  <si>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</si>
  <si>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</si>
  <si>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</si>
  <si>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</si>
  <si>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</si>
  <si>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</si>
  <si>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</si>
  <si>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</si>
  <si>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</si>
  <si>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</si>
  <si>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</si>
  <si>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</si>
  <si>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</si>
  <si>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</si>
  <si>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</si>
  <si>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</si>
  <si>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</si>
  <si>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</si>
  <si>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</si>
  <si>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</si>
  <si>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</si>
  <si>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</si>
  <si>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</si>
  <si>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</si>
  <si>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</si>
  <si>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</si>
  <si>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</si>
  <si>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</si>
  <si>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</si>
  <si>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</si>
  <si>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</si>
  <si>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</si>
  <si>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</si>
  <si>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</si>
  <si>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</si>
  <si>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</si>
  <si>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</si>
  <si>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</si>
  <si>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</si>
  <si>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</si>
  <si>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</si>
  <si>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</si>
  <si>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</si>
  <si>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</si>
  <si>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</si>
  <si>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</si>
  <si>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</si>
  <si>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</si>
  <si>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</si>
  <si>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</si>
  <si>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</si>
  <si>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</si>
  <si>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</si>
  <si>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</si>
  <si>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</si>
  <si>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</si>
  <si>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</si>
  <si>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</si>
  <si>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</si>
  <si>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</si>
  <si>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</si>
  <si>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</si>
  <si>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</si>
  <si>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</si>
  <si>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</si>
  <si>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</si>
  <si>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</si>
  <si>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</si>
  <si>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</si>
  <si>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</si>
  <si>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</si>
  <si>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</si>
  <si>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</si>
  <si>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</si>
  <si>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</si>
  <si>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</si>
  <si>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</si>
  <si>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</si>
  <si>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</si>
  <si>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</si>
  <si>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</si>
  <si>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</si>
  <si>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</si>
  <si>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</si>
  <si>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</si>
  <si>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</si>
  <si>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</si>
  <si>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</si>
  <si>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</si>
  <si>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</si>
  <si>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</si>
  <si>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</si>
  <si>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</si>
  <si>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</si>
  <si>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</si>
  <si>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</si>
  <si>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</si>
  <si>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</si>
  <si>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</si>
  <si>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</si>
  <si>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</si>
  <si>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</si>
  <si>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</si>
  <si>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</si>
  <si>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</si>
  <si>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</si>
  <si>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</si>
  <si>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</si>
  <si>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</si>
  <si>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</si>
  <si>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</si>
  <si>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</si>
  <si>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</si>
  <si>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</si>
  <si>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</si>
  <si>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</si>
  <si>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</si>
  <si>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</si>
  <si>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</si>
  <si>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</si>
  <si>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</si>
  <si>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</si>
  <si>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</si>
  <si>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</si>
  <si>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</si>
  <si>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</si>
  <si>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</si>
  <si>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</si>
  <si>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</si>
  <si>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</si>
  <si>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</si>
  <si>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</si>
  <si>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</si>
  <si>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</si>
  <si>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</si>
  <si>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</si>
  <si>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</si>
  <si>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</si>
  <si>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</si>
  <si>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</si>
  <si>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</si>
  <si>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</si>
  <si>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</si>
  <si>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</si>
  <si>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</si>
  <si>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</si>
  <si>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</si>
  <si>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</si>
  <si>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</si>
  <si>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</si>
  <si>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</si>
  <si>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</si>
  <si>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</si>
  <si>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</si>
  <si>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</si>
  <si>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</si>
  <si>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</si>
  <si>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</si>
  <si>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</si>
  <si>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</si>
  <si>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</si>
  <si>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</si>
  <si>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</si>
  <si>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</si>
  <si>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</si>
  <si>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</si>
  <si>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</si>
  <si>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</si>
  <si>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</si>
  <si>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</si>
  <si>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</si>
  <si>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</si>
  <si>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</si>
  <si>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</si>
  <si>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</si>
  <si>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</si>
  <si>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</si>
  <si>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</si>
  <si>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</si>
  <si>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</si>
  <si>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</si>
  <si>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</si>
  <si>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</si>
  <si>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</si>
  <si>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</si>
  <si>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</si>
  <si>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</si>
  <si>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</si>
  <si>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</si>
  <si>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</si>
  <si>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</si>
  <si>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</si>
  <si>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</si>
  <si>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</si>
  <si>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</si>
  <si>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</si>
  <si>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</si>
  <si>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</si>
  <si>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</si>
  <si>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</si>
  <si>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</si>
  <si>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</si>
  <si>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</si>
  <si>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</si>
  <si>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</si>
  <si>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</si>
  <si>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</si>
  <si>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</si>
  <si>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</si>
  <si>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</si>
  <si>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</si>
  <si>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</si>
  <si>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</si>
  <si>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</si>
  <si>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</si>
  <si>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</si>
  <si>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</si>
  <si>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</si>
  <si>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</si>
  <si>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</si>
  <si>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</si>
  <si>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</si>
  <si>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</si>
  <si>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</si>
  <si>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</si>
  <si>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</si>
  <si>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</si>
  <si>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</si>
  <si>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</si>
  <si>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</si>
  <si>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</si>
  <si>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</si>
  <si>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</si>
  <si>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</si>
  <si>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</si>
  <si>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</si>
  <si>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</si>
  <si>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</si>
  <si>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</si>
  <si>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</si>
  <si>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</si>
  <si>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</si>
  <si>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</si>
  <si>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</si>
  <si>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</si>
  <si>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</si>
  <si>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</si>
  <si>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</si>
  <si>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</si>
  <si>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</si>
  <si>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</si>
  <si>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</si>
  <si>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</si>
  <si>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</si>
  <si>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</si>
  <si>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</si>
  <si>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</si>
  <si>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</si>
  <si>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</si>
  <si>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</si>
  <si>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</si>
  <si>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</si>
  <si>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</si>
  <si>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</si>
  <si>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</si>
  <si>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</si>
  <si>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</si>
  <si>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</si>
  <si>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</si>
  <si>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</si>
  <si>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</si>
  <si>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</si>
  <si>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</si>
  <si>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</si>
  <si>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</si>
  <si>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</si>
  <si>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</si>
  <si>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</si>
  <si>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</si>
  <si>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</si>
  <si>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</si>
  <si>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</si>
  <si>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</si>
  <si>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</si>
  <si>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</si>
  <si>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</si>
  <si>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</si>
  <si>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</si>
  <si>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</si>
  <si>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</si>
  <si>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</si>
  <si>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</si>
  <si>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</si>
  <si>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</si>
  <si>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</si>
  <si>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</si>
  <si>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</si>
  <si>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</si>
  <si>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</si>
  <si>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</si>
  <si>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</si>
  <si>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</si>
  <si>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</si>
  <si>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</si>
  <si>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</si>
  <si>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</si>
  <si>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</si>
  <si>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</si>
  <si>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</si>
  <si>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</si>
  <si>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</si>
  <si>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</si>
  <si>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</si>
  <si>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</si>
  <si>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</si>
  <si>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</si>
  <si>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</si>
  <si>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</si>
  <si>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</si>
  <si>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</si>
  <si>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</si>
  <si>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</si>
  <si>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</si>
  <si>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</si>
  <si>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</si>
  <si>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</si>
  <si>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</si>
  <si>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</si>
  <si>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</si>
  <si>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</si>
  <si>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</si>
  <si>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</si>
  <si>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</si>
  <si>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</si>
  <si>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</si>
  <si>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</si>
  <si>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</si>
  <si>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</si>
  <si>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</si>
  <si>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</si>
  <si>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</si>
  <si>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</si>
  <si>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</si>
  <si>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</si>
  <si>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</si>
  <si>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</si>
  <si>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</si>
  <si>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</si>
  <si>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</si>
  <si>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</si>
  <si>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</si>
  <si>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</si>
  <si>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</si>
  <si>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</si>
  <si>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</si>
  <si>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</si>
  <si>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</si>
  <si>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</si>
  <si>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</si>
  <si>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</si>
  <si>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</si>
  <si>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</si>
  <si>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</si>
  <si>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</si>
  <si>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</si>
  <si>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</si>
  <si>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</si>
  <si>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</si>
  <si>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</si>
  <si>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</si>
  <si>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</si>
  <si>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</si>
  <si>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</si>
  <si>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</si>
  <si>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</si>
  <si>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</si>
  <si>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</si>
  <si>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</si>
  <si>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</si>
  <si>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</si>
  <si>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</si>
  <si>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</si>
  <si>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</si>
  <si>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</si>
  <si>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</si>
  <si>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</si>
  <si>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</si>
  <si>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</si>
  <si>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</si>
  <si>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</si>
  <si>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</si>
  <si>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</si>
  <si>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</si>
  <si>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</si>
  <si>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</si>
  <si>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</si>
  <si>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</si>
  <si>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</si>
  <si>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</si>
  <si>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</si>
  <si>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</si>
  <si>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</si>
  <si>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</si>
  <si>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</si>
  <si>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</si>
  <si>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</si>
  <si>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</si>
  <si>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</si>
  <si>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</si>
  <si>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</si>
  <si>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</si>
  <si>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</si>
  <si>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</si>
  <si>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</si>
  <si>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</si>
  <si>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</si>
  <si>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</si>
  <si>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</si>
  <si>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</si>
  <si>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</si>
  <si>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</si>
  <si>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</si>
  <si>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</si>
  <si>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</si>
  <si>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</si>
  <si>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</si>
  <si>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</si>
  <si>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</si>
  <si>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</si>
  <si>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</si>
  <si>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</si>
  <si>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</si>
  <si>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</si>
  <si>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</si>
  <si>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</si>
  <si>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</si>
  <si>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</si>
  <si>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</si>
  <si>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</si>
  <si>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</si>
  <si>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</si>
  <si>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</si>
  <si>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</si>
  <si>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</si>
  <si>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</si>
  <si>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</si>
  <si>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</si>
  <si>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</si>
  <si>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</si>
  <si>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</si>
  <si>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</si>
  <si>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</si>
  <si>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</si>
  <si>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</si>
  <si>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</si>
  <si>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</si>
  <si>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</si>
  <si>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</si>
  <si>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</si>
  <si>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</si>
  <si>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</si>
  <si>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</si>
  <si>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</si>
  <si>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</si>
  <si>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</si>
  <si>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</si>
  <si>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</si>
  <si>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</si>
  <si>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</si>
  <si>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</si>
  <si>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</si>
  <si>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</si>
  <si>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</si>
  <si>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</si>
  <si>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</si>
  <si>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</si>
  <si>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</si>
  <si>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</si>
  <si>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</si>
  <si>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</si>
  <si>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</si>
  <si>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</si>
  <si>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</si>
  <si>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</si>
  <si>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</si>
  <si>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</si>
  <si>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</si>
  <si>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</si>
  <si>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</si>
  <si>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</si>
  <si>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</si>
  <si>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</si>
  <si>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</si>
  <si>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</si>
  <si>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</si>
  <si>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</si>
  <si>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</si>
  <si>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</si>
  <si>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</si>
  <si>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</si>
  <si>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</si>
  <si>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</si>
  <si>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</si>
  <si>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</si>
  <si>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</si>
  <si>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</si>
  <si>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</si>
  <si>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</si>
  <si>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</si>
  <si>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</si>
  <si>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</si>
  <si>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</si>
  <si>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</si>
  <si>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</si>
  <si>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</si>
  <si>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</si>
  <si>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</si>
  <si>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</si>
  <si>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</si>
  <si>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</si>
  <si>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</si>
  <si>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</si>
  <si>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</si>
  <si>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</si>
  <si>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</si>
  <si>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</si>
  <si>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</si>
  <si>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</si>
  <si>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</si>
  <si>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</si>
  <si>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</si>
  <si>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</si>
  <si>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</si>
  <si>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</si>
  <si>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</si>
  <si>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</si>
  <si>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</si>
  <si>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</si>
  <si>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</si>
  <si>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</si>
  <si>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</si>
  <si>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</si>
  <si>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</si>
  <si>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</si>
  <si>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</si>
  <si>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</si>
  <si>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</si>
  <si>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</si>
  <si>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</si>
  <si>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</si>
  <si>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</si>
  <si>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</si>
  <si>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</si>
  <si>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</si>
  <si>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</si>
  <si>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</si>
  <si>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</si>
  <si>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</si>
  <si>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</si>
  <si>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</si>
  <si>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</si>
  <si>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</si>
  <si>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</si>
  <si>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</si>
  <si>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</si>
  <si>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</si>
  <si>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</si>
  <si>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</si>
  <si>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</si>
  <si>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</si>
  <si>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</si>
  <si>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</si>
  <si>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</si>
  <si>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</si>
  <si>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</si>
  <si>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</si>
  <si>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</si>
  <si>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</si>
  <si>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</si>
  <si>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</si>
  <si>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</si>
  <si>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</si>
  <si>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</si>
  <si>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</si>
  <si>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</si>
  <si>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</si>
  <si>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</si>
  <si>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</si>
  <si>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</si>
  <si>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</si>
  <si>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</si>
  <si>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</si>
  <si>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</si>
  <si>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</si>
  <si>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</si>
  <si>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</si>
  <si>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</si>
  <si>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</si>
  <si>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</si>
  <si>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</si>
  <si>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</si>
  <si>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</si>
  <si>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</si>
  <si>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</si>
  <si>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</si>
  <si>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</si>
  <si>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</si>
  <si>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</si>
  <si>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</si>
  <si>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</si>
  <si>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</si>
  <si>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</si>
  <si>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</si>
  <si>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</si>
  <si>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</si>
  <si>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</si>
  <si>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</si>
  <si>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</si>
  <si>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</si>
  <si>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</si>
  <si>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</si>
  <si>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</si>
  <si>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</si>
  <si>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</si>
  <si>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</si>
  <si>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</si>
  <si>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</si>
  <si>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</si>
  <si>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</si>
  <si>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</si>
  <si>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</si>
  <si>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</si>
  <si>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</si>
  <si>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</si>
  <si>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</si>
  <si>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</si>
  <si>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</si>
  <si>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</si>
  <si>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</si>
  <si>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</si>
  <si>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</si>
  <si>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</si>
  <si>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</si>
  <si>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</si>
  <si>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</si>
  <si>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</si>
  <si>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</si>
  <si>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</si>
  <si>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</si>
  <si>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</si>
  <si>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</si>
  <si>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</si>
  <si>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</si>
  <si>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</si>
  <si>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</si>
  <si>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</si>
  <si>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</si>
  <si>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</si>
  <si>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</si>
  <si>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</si>
  <si>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</si>
  <si>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</si>
  <si>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</si>
  <si>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</si>
  <si>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</si>
  <si>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</si>
  <si>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</si>
  <si>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</si>
  <si>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</si>
  <si>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</si>
  <si>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</si>
  <si>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</si>
  <si>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</si>
  <si>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</si>
  <si>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</si>
  <si>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</si>
  <si>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</si>
  <si>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</si>
  <si>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</si>
  <si>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</si>
  <si>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</si>
  <si>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</si>
  <si>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</si>
  <si>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</si>
  <si>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</si>
  <si>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</si>
  <si>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</si>
  <si>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</si>
  <si>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</si>
  <si>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</si>
  <si>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</si>
  <si>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</si>
  <si>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</si>
  <si>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</si>
  <si>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</si>
  <si>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</si>
  <si>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</si>
  <si>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</si>
  <si>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</si>
  <si>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</si>
  <si>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</si>
  <si>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</si>
  <si>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</si>
  <si>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</si>
  <si>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</si>
  <si>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</si>
  <si>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</si>
  <si>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</si>
  <si>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</si>
  <si>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</si>
  <si>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</si>
  <si>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</si>
  <si>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</si>
  <si>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</si>
  <si>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</si>
  <si>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</si>
  <si>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</si>
  <si>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</si>
  <si>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</si>
  <si>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</si>
  <si>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</si>
  <si>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</si>
  <si>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</si>
  <si>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</si>
  <si>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</si>
  <si>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</si>
  <si>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</si>
  <si>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</si>
  <si>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</si>
  <si>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</si>
  <si>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</si>
  <si>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</si>
  <si>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</si>
  <si>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</si>
  <si>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</si>
  <si>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</si>
  <si>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</si>
  <si>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</si>
  <si>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</si>
  <si>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</si>
  <si>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</si>
  <si>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</si>
  <si>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</si>
  <si>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</si>
  <si>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</si>
  <si>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</si>
  <si>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</si>
  <si>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</si>
  <si>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</si>
  <si>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</si>
  <si>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</si>
  <si>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</si>
  <si>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</si>
  <si>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</si>
  <si>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</si>
  <si>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</si>
  <si>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</si>
  <si>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</si>
  <si>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</si>
  <si>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</si>
  <si>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</si>
  <si>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</si>
  <si>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</si>
  <si>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</si>
  <si>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</si>
  <si>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</si>
  <si>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</si>
  <si>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</si>
  <si>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</si>
  <si>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</si>
  <si>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</si>
  <si>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</si>
  <si>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</si>
  <si>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</si>
  <si>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</si>
  <si>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</si>
  <si>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</si>
  <si>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</si>
  <si>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</si>
  <si>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</si>
  <si>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</si>
  <si>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</si>
  <si>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</si>
  <si>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</si>
  <si>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</si>
  <si>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</si>
  <si>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</si>
  <si>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</si>
  <si>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</si>
  <si>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</si>
  <si>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</si>
  <si>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</si>
  <si>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</si>
  <si>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</si>
  <si>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</si>
  <si>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</si>
  <si>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</si>
  <si>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</si>
  <si>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</si>
  <si>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</si>
  <si>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</si>
  <si>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</si>
  <si>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</si>
  <si>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</si>
  <si>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</si>
  <si>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</si>
  <si>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</si>
  <si>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</si>
  <si>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</si>
  <si>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</si>
  <si>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</si>
  <si>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</si>
  <si>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</si>
  <si>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</si>
  <si>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</si>
  <si>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</si>
  <si>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</si>
  <si>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</si>
  <si>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</si>
  <si>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</si>
  <si>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</si>
  <si>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</si>
  <si>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</si>
  <si>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</si>
  <si>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</si>
  <si>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</si>
  <si>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</si>
  <si>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</si>
  <si>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</si>
  <si>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</si>
  <si>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</si>
  <si>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</si>
  <si>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</si>
  <si>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</si>
  <si>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</si>
  <si>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</si>
  <si>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</si>
  <si>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</si>
  <si>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</si>
  <si>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</si>
  <si>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</si>
  <si>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</si>
  <si>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</si>
  <si>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</si>
  <si>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</si>
  <si>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</si>
  <si>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</si>
  <si>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</si>
  <si>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</si>
  <si>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</si>
  <si>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</si>
  <si>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</si>
  <si>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</si>
  <si>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</si>
  <si>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</si>
  <si>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</si>
  <si>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</si>
  <si>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</si>
  <si>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</si>
  <si>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</si>
  <si>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</si>
  <si>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</si>
  <si>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</si>
  <si>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</si>
  <si>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</si>
  <si>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</si>
  <si>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</si>
  <si>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</si>
  <si>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</si>
  <si>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</si>
  <si>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</si>
  <si>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</si>
  <si>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</si>
  <si>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</si>
  <si>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</si>
  <si>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</si>
  <si>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</si>
  <si>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</si>
  <si>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</si>
  <si>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</si>
  <si>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</si>
  <si>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</si>
  <si>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</si>
  <si>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</si>
  <si>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</si>
  <si>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</si>
  <si>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</si>
  <si>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</si>
  <si>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</si>
  <si>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</si>
  <si>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</si>
  <si>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</si>
  <si>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</si>
  <si>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</si>
  <si>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</si>
  <si>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</si>
  <si>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</si>
  <si>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</si>
  <si>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</si>
  <si>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</si>
  <si>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</si>
  <si>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</si>
  <si>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</si>
  <si>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</si>
  <si>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</si>
  <si>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</si>
  <si>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</si>
  <si>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</si>
  <si>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</si>
  <si>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</si>
  <si>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</si>
  <si>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</si>
  <si>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</si>
  <si>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</si>
  <si>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</si>
  <si>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</si>
  <si>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</si>
  <si>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</si>
  <si>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</si>
  <si>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</si>
  <si>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</si>
  <si>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</si>
  <si>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</si>
  <si>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</si>
  <si>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</si>
  <si>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</si>
  <si>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</si>
  <si>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</si>
  <si>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</si>
  <si>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</si>
  <si>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</si>
  <si>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</si>
  <si>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</si>
  <si>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</si>
  <si>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</si>
  <si>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</si>
  <si>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</si>
  <si>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</si>
  <si>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</si>
  <si>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</si>
  <si>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</si>
  <si>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</si>
  <si>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</si>
  <si>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</si>
  <si>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</si>
  <si>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</si>
  <si>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</si>
  <si>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</si>
  <si>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</si>
  <si>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</si>
  <si>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</si>
  <si>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</si>
  <si>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</si>
  <si>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</si>
  <si>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</si>
  <si>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</si>
  <si>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</si>
  <si>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</si>
  <si>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</si>
  <si>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</si>
  <si>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</si>
  <si>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</si>
  <si>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</si>
  <si>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</si>
  <si>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</si>
  <si>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</si>
  <si>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</si>
  <si>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</si>
  <si>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</si>
  <si>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</si>
  <si>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</si>
  <si>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</si>
  <si>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</si>
  <si>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</si>
  <si>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</si>
  <si>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</si>
  <si>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</si>
  <si>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</si>
  <si>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</si>
  <si>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</si>
  <si>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</si>
  <si>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</si>
  <si>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</si>
  <si>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</si>
  <si>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</si>
  <si>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</si>
  <si>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</si>
  <si>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</si>
  <si>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</si>
  <si>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</si>
  <si>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</si>
  <si>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</si>
  <si>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</si>
  <si>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</si>
  <si>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</si>
  <si>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</si>
  <si>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</si>
  <si>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</si>
  <si>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</si>
  <si>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</si>
  <si>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</si>
  <si>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</si>
  <si>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</si>
  <si>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</si>
  <si>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</si>
  <si>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</si>
  <si>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</si>
  <si>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</si>
  <si>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</si>
  <si>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</si>
  <si>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</si>
  <si>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</si>
  <si>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</si>
  <si>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</si>
  <si>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</si>
  <si>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</si>
  <si>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</si>
  <si>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</si>
  <si>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</si>
  <si>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</si>
  <si>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</si>
  <si>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</si>
  <si>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</si>
  <si>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</si>
  <si>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</si>
  <si>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</si>
  <si>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</si>
  <si>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</si>
  <si>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</si>
  <si>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</si>
  <si>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</si>
  <si>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</si>
  <si>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</si>
  <si>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</si>
  <si>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</si>
  <si>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</si>
  <si>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</si>
  <si>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</si>
  <si>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</si>
  <si>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</si>
  <si>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</si>
  <si>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</si>
  <si>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</si>
  <si>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</si>
  <si>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</si>
  <si>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</si>
  <si>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</si>
  <si>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</si>
  <si>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</si>
  <si>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</si>
  <si>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</si>
  <si>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</si>
  <si>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</si>
  <si>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</si>
  <si>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</si>
  <si>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</si>
  <si>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</si>
  <si>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</si>
  <si>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</si>
  <si>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</si>
  <si>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</si>
  <si>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</si>
  <si>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</si>
  <si>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</si>
  <si>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</si>
  <si>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</si>
  <si>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</si>
  <si>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</si>
  <si>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</si>
  <si>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</si>
  <si>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</si>
  <si>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</si>
  <si>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</si>
  <si>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</si>
  <si>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</si>
  <si>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</si>
  <si>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</si>
  <si>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</si>
  <si>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</si>
  <si>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</si>
  <si>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</si>
  <si>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</si>
  <si>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</si>
  <si>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</si>
  <si>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</si>
  <si>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</si>
  <si>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</si>
  <si>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</si>
  <si>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</si>
  <si>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</si>
  <si>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</si>
  <si>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</si>
  <si>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</si>
  <si>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</si>
  <si>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</si>
  <si>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</si>
  <si>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</si>
  <si>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</si>
  <si>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</si>
  <si>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</si>
  <si>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</si>
  <si>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</si>
  <si>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</si>
  <si>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</si>
  <si>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</si>
  <si>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</si>
  <si>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</si>
  <si>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</si>
  <si>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</si>
  <si>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</si>
  <si>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</si>
  <si>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</si>
  <si>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</si>
  <si>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</si>
  <si>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</si>
  <si>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</si>
  <si>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</si>
  <si>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</si>
  <si>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</si>
  <si>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</si>
  <si>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</si>
  <si>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</si>
  <si>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</si>
  <si>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</si>
  <si>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</si>
  <si>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</si>
  <si>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</si>
  <si>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</si>
  <si>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</si>
  <si>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</si>
  <si>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</si>
  <si>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</si>
  <si>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</si>
  <si>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</si>
  <si>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</si>
  <si>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</si>
  <si>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</si>
  <si>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</si>
  <si>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</si>
  <si>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</si>
  <si>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</si>
  <si>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</si>
  <si>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</si>
  <si>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</si>
  <si>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</si>
  <si>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</si>
  <si>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</si>
  <si>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</si>
  <si>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</si>
  <si>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</si>
  <si>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</si>
  <si>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</si>
  <si>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</si>
  <si>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</si>
  <si>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</si>
  <si>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</si>
  <si>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</si>
  <si>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</si>
  <si>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</si>
  <si>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</si>
  <si>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</si>
  <si>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</si>
  <si>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</si>
  <si>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</si>
  <si>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</si>
  <si>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</si>
  <si>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</si>
  <si>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</si>
  <si>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</si>
  <si>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</si>
  <si>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</si>
  <si>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</si>
  <si>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</si>
  <si>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</si>
  <si>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</si>
  <si>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</si>
  <si>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</si>
  <si>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</si>
  <si>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</si>
  <si>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</si>
  <si>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</si>
  <si>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</si>
  <si>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</si>
  <si>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</si>
  <si>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</si>
  <si>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</si>
  <si>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</si>
  <si>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</si>
  <si>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</si>
  <si>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</si>
  <si>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</si>
  <si>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</si>
  <si>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</si>
  <si>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</si>
  <si>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</si>
  <si>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</si>
  <si>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</si>
  <si>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</si>
  <si>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</si>
  <si>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</si>
  <si>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</si>
  <si>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</si>
  <si>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</si>
  <si>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</si>
  <si>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</si>
  <si>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</si>
  <si>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</si>
  <si>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</si>
  <si>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</si>
  <si>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</si>
  <si>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</si>
  <si>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</si>
  <si>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</si>
  <si>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</si>
  <si>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</si>
  <si>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</si>
  <si>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</si>
  <si>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</si>
  <si>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</si>
  <si>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</si>
  <si>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</si>
  <si>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</si>
  <si>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</si>
  <si>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</si>
  <si>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</si>
  <si>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</si>
  <si>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</si>
  <si>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</si>
  <si>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</si>
  <si>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</si>
  <si>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</si>
  <si>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</si>
  <si>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</si>
  <si>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</si>
  <si>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</si>
  <si>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</si>
  <si>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</si>
  <si>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</si>
  <si>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</si>
  <si>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</si>
  <si>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</si>
  <si>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</si>
  <si>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</si>
  <si>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</si>
  <si>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</si>
  <si>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</si>
  <si>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</si>
  <si>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</si>
  <si>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</si>
  <si>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</si>
  <si>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</si>
  <si>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</si>
  <si>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</si>
  <si>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</si>
  <si>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</si>
  <si>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</si>
  <si>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</si>
  <si>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</si>
  <si>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</si>
  <si>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</si>
  <si>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</si>
  <si>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</si>
  <si>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</si>
  <si>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</si>
  <si>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</si>
  <si>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</si>
  <si>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</si>
  <si>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</si>
  <si>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</si>
  <si>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</si>
  <si>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</si>
  <si>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</si>
  <si>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</si>
  <si>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</si>
  <si>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</si>
  <si>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</si>
  <si>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</si>
  <si>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</si>
  <si>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</si>
  <si>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</si>
  <si>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</si>
  <si>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</si>
  <si>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</si>
  <si>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</si>
  <si>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</si>
  <si>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</si>
  <si>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</si>
  <si>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</si>
  <si>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</si>
  <si>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</si>
  <si>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</si>
  <si>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</si>
  <si>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</si>
  <si>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</si>
  <si>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</si>
  <si>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</si>
  <si>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</si>
  <si>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</si>
  <si>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</si>
  <si>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</si>
  <si>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</si>
  <si>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</si>
  <si>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</si>
  <si>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</si>
  <si>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</si>
  <si>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</si>
  <si>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</si>
  <si>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</si>
  <si>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</si>
  <si>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</si>
  <si>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</si>
  <si>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</si>
  <si>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</si>
  <si>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</si>
  <si>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</si>
  <si>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</si>
  <si>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</si>
  <si>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</si>
  <si>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</si>
  <si>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</si>
  <si>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</si>
  <si>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</si>
  <si>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</si>
  <si>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</si>
  <si>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</si>
  <si>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</si>
  <si>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</si>
  <si>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</si>
  <si>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</si>
  <si>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</si>
  <si>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</si>
  <si>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</si>
  <si>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</si>
  <si>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</si>
  <si>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</si>
  <si>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</si>
  <si>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</si>
  <si>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</si>
  <si>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</si>
  <si>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</si>
  <si>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</si>
  <si>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</si>
  <si>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</si>
  <si>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</si>
  <si>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</si>
  <si>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</si>
  <si>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</si>
  <si>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</si>
  <si>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</si>
  <si>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</si>
  <si>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</si>
  <si>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</si>
  <si>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</si>
  <si>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</si>
  <si>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</si>
  <si>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</si>
  <si>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</si>
  <si>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</si>
  <si>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</si>
  <si>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</si>
  <si>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</si>
  <si>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</si>
  <si>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</si>
  <si>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</si>
  <si>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</si>
  <si>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</si>
  <si>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</si>
  <si>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</si>
  <si>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</si>
  <si>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</si>
  <si>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</si>
  <si>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</si>
  <si>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</si>
  <si>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</si>
  <si>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</si>
  <si>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</si>
  <si>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</si>
  <si>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</si>
  <si>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</si>
  <si>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</si>
  <si>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</si>
  <si>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</si>
  <si>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</si>
  <si>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</si>
  <si>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</si>
  <si>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</si>
  <si>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</si>
  <si>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</si>
  <si>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</si>
  <si>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</si>
  <si>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</si>
  <si>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</si>
  <si>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</si>
  <si>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</si>
  <si>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</si>
  <si>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</si>
  <si>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</si>
  <si>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</si>
  <si>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</si>
  <si>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</si>
  <si>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</si>
  <si>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</si>
  <si>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</si>
  <si>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</si>
  <si>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</si>
  <si>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</si>
  <si>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</si>
  <si>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</si>
  <si>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</si>
  <si>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</si>
  <si>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</si>
  <si>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</si>
  <si>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</si>
  <si>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</si>
  <si>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</si>
  <si>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</si>
  <si>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</si>
  <si>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</si>
  <si>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</si>
  <si>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</si>
  <si>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</si>
  <si>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</si>
  <si>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</si>
  <si>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</si>
  <si>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</si>
  <si>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</si>
  <si>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</si>
  <si>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</si>
  <si>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</si>
  <si>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</si>
  <si>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</si>
  <si>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</si>
  <si>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</si>
  <si>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</si>
  <si>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</si>
  <si>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</si>
  <si>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</si>
  <si>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</si>
  <si>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</si>
  <si>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</si>
  <si>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</si>
  <si>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</si>
  <si>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</si>
  <si>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</si>
  <si>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</si>
  <si>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</si>
  <si>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</si>
  <si>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</si>
  <si>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</si>
  <si>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</si>
  <si>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</si>
  <si>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</si>
  <si>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</si>
  <si>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</si>
  <si>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</si>
  <si>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</si>
  <si>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</si>
  <si>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</si>
  <si>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</si>
  <si>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</si>
  <si>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</si>
  <si>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</si>
  <si>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</si>
  <si>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</si>
  <si>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</si>
  <si>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</si>
  <si>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</si>
  <si>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</si>
  <si>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</si>
  <si>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</si>
  <si>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</si>
  <si>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</si>
  <si>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</si>
  <si>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</si>
  <si>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</si>
  <si>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</si>
  <si>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</si>
  <si>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</si>
  <si>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</si>
  <si>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</si>
  <si>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</si>
  <si>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</si>
  <si>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</si>
  <si>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</si>
  <si>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</si>
  <si>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</si>
  <si>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</si>
  <si>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</si>
  <si>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</si>
  <si>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</si>
  <si>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</si>
  <si>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</si>
  <si>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</si>
  <si>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</si>
  <si>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</si>
  <si>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</si>
  <si>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</si>
  <si>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</si>
  <si>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</si>
  <si>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</si>
  <si>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</si>
  <si>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</si>
  <si>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</si>
  <si>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</si>
  <si>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</si>
  <si>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</si>
  <si>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</si>
  <si>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</si>
  <si>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</si>
  <si>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</si>
  <si>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</si>
  <si>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</si>
  <si>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</si>
  <si>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</si>
  <si>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</si>
  <si>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</si>
  <si>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</si>
  <si>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</si>
  <si>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</si>
  <si>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</si>
  <si>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</si>
  <si>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</si>
  <si>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</si>
  <si>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</si>
  <si>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</si>
  <si>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</si>
  <si>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</si>
  <si>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</si>
  <si>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</si>
  <si>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</si>
  <si>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</si>
  <si>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</si>
  <si>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</si>
  <si>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</si>
  <si>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</si>
  <si>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</si>
  <si>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</si>
  <si>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</si>
  <si>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</si>
  <si>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</si>
  <si>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</si>
  <si>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</si>
  <si>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</si>
  <si>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</si>
  <si>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</si>
  <si>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</si>
  <si>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</si>
  <si>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</si>
  <si>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</si>
  <si>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</si>
  <si>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</si>
  <si>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</si>
  <si>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</si>
  <si>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</si>
  <si>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</si>
  <si>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</si>
  <si>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</si>
  <si>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</si>
  <si>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</si>
  <si>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</si>
  <si>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</si>
  <si>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</si>
  <si>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</si>
  <si>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</si>
  <si>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</si>
  <si>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</si>
  <si>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</si>
  <si>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</si>
  <si>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</si>
  <si>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</si>
  <si>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</si>
  <si>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</si>
  <si>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</si>
  <si>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</si>
  <si>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</si>
  <si>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</si>
  <si>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</si>
  <si>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</si>
  <si>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</si>
  <si>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</si>
  <si>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</si>
  <si>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</si>
  <si>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</si>
  <si>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</si>
  <si>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</si>
  <si>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</si>
  <si>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</si>
  <si>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</si>
  <si>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</si>
  <si>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</si>
  <si>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</si>
  <si>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</si>
  <si>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</si>
  <si>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</si>
  <si>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</si>
  <si>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</si>
  <si>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</si>
  <si>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</si>
  <si>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</si>
  <si>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</si>
  <si>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</si>
  <si>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</si>
  <si>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</si>
  <si>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</si>
  <si>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</si>
  <si>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</si>
  <si>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</si>
  <si>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</si>
  <si>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</si>
  <si>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</si>
  <si>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</si>
  <si>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</si>
  <si>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</si>
  <si>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</si>
  <si>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</si>
  <si>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</si>
  <si>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</si>
  <si>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</si>
  <si>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</si>
  <si>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</si>
  <si>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</si>
  <si>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</si>
  <si>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</si>
  <si>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</si>
  <si>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</si>
  <si>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</si>
  <si>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</si>
  <si>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</si>
  <si>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</si>
  <si>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</si>
  <si>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</si>
  <si>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</si>
  <si>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</si>
  <si>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</si>
  <si>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</si>
  <si>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</si>
  <si>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</si>
  <si>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</si>
  <si>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</si>
  <si>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</si>
  <si>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</si>
  <si>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</si>
  <si>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</si>
  <si>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</si>
  <si>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</si>
  <si>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</si>
  <si>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</si>
  <si>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</si>
  <si>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</si>
  <si>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</si>
  <si>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</si>
  <si>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</si>
  <si>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</si>
  <si>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</si>
  <si>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</si>
  <si>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</si>
  <si>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</si>
  <si>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</si>
  <si>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</si>
  <si>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</si>
  <si>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</si>
  <si>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</si>
  <si>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</si>
  <si>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</si>
  <si>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</si>
  <si>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</si>
  <si>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</si>
  <si>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</si>
  <si>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</si>
  <si>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</si>
  <si>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 xml:space="preserve">OK </t>
    </r>
    <r>
      <rPr>
        <sz val="11"/>
        <color theme="1"/>
        <rFont val="Santander Text"/>
        <family val="2"/>
      </rPr>
      <t>(Em falta portfolio Project Finance)</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</si>
  <si>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</si>
  <si>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</si>
  <si>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</si>
  <si>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</si>
  <si>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</si>
  <si>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</si>
  <si>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</si>
  <si>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</si>
  <si>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</si>
  <si>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</si>
  <si>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</si>
  <si>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</si>
  <si>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</si>
  <si>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</si>
  <si>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</si>
  <si>
    <t>A validar por CDO</t>
  </si>
  <si>
    <r>
      <t>1.</t>
    </r>
    <r>
      <rPr>
        <b/>
        <sz val="11"/>
        <rFont val="Santander Text"/>
        <family val="2"/>
      </rPr>
      <t xml:space="preserve"> Testes:</t>
    </r>
    <r>
      <rPr>
        <sz val="11"/>
        <rFont val="Santander Text"/>
        <family val="2"/>
      </rPr>
      <t xml:space="preserve">
- Testado o campo CGARANT_BEM (</t>
    </r>
    <r>
      <rPr>
        <b/>
        <sz val="11"/>
        <rFont val="Santander Text"/>
        <family val="2"/>
      </rPr>
      <t>tabela Property</t>
    </r>
    <r>
      <rPr>
        <sz val="11"/>
        <rFont val="Santander Text"/>
        <family val="2"/>
      </rPr>
      <t xml:space="preserve">), o que permitiu dar a tabela como terminada
- Conforme previsto, foram realizados os testes à tabela de input da </t>
    </r>
    <r>
      <rPr>
        <b/>
        <sz val="11"/>
        <rFont val="Santander Text"/>
        <family val="2"/>
      </rPr>
      <t xml:space="preserve">Gloval </t>
    </r>
    <r>
      <rPr>
        <sz val="11"/>
        <rFont val="Santander Text"/>
        <family val="2"/>
      </rPr>
      <t>bem como à tabela unificada/ traçabilidade. Contudo, a tabela de input encontra-se em Validação EF uma vez que está dependente de validação do CDO.</t>
    </r>
    <r>
      <rPr>
        <b/>
        <sz val="11"/>
        <color theme="1"/>
        <rFont val="Santander Text"/>
        <family val="2"/>
      </rPr>
      <t xml:space="preserve">
</t>
    </r>
    <r>
      <rPr>
        <sz val="11"/>
        <rFont val="Santander Text"/>
        <family val="2"/>
      </rPr>
      <t xml:space="preserve">
 </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</si>
  <si>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Foram reabertos os 6 campos para incluir a especificação do portfólio de Project Finance  [conforme referido no último PdS].
</t>
    </r>
    <r>
      <rPr>
        <b/>
        <sz val="11"/>
        <color theme="1"/>
        <rFont val="Santander Text"/>
        <family val="2"/>
      </rPr>
      <t>Tabela de Contratos (lt002_instrument):</t>
    </r>
    <r>
      <rPr>
        <sz val="11"/>
        <color theme="1"/>
        <rFont val="Santander Text"/>
        <family val="2"/>
      </rPr>
      <t xml:space="preserve">
- Foram reabertos 3 campos para incluir a especificação do portfólio de Project Finance  [conforme referido no último PdS]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- 1 não foi possível testar por dependência da atualização das Categorias SFICS
</t>
    </r>
    <r>
      <rPr>
        <b/>
        <sz val="11"/>
        <color theme="1"/>
        <rFont val="Santander Text"/>
        <family val="2"/>
      </rPr>
      <t xml:space="preserve">Tabela de Garantias (lt004_protection):
</t>
    </r>
    <r>
      <rPr>
        <sz val="11"/>
        <color theme="1"/>
        <rFont val="Santander Text"/>
        <family val="2"/>
      </rPr>
      <t xml:space="preserve">- Concluídos 11 campos. 
- 1 campo encontra-se com incidências
</t>
    </r>
  </si>
  <si>
    <t>Em Re-especificação</t>
  </si>
  <si>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 xml:space="preserve">-&gt; tbd
</t>
    </r>
    <r>
      <rPr>
        <sz val="11"/>
        <color theme="1"/>
        <rFont val="Santander Text"/>
        <family val="2"/>
      </rPr>
      <t>- Emissões Project Finance (tabela de Clientes) (6 campos) -&gt;</t>
    </r>
    <r>
      <rPr>
        <b/>
        <sz val="11"/>
        <color theme="1"/>
        <rFont val="Santander Text"/>
        <family val="2"/>
      </rPr>
      <t xml:space="preserve"> tbd
2. Especificações:
</t>
    </r>
    <r>
      <rPr>
        <sz val="11"/>
        <color theme="1"/>
        <rFont val="Santander Text"/>
        <family val="2"/>
      </rPr>
      <t xml:space="preserve">- </t>
    </r>
    <r>
      <rPr>
        <b/>
        <sz val="11"/>
        <color theme="1"/>
        <rFont val="Santander Text"/>
        <family val="2"/>
      </rPr>
      <t>Concluída a especificação do Portfolio de Project Finance</t>
    </r>
    <r>
      <rPr>
        <sz val="11"/>
        <color theme="1"/>
        <rFont val="Santander Text"/>
        <family val="2"/>
      </rPr>
      <t xml:space="preserve">
- </t>
    </r>
    <r>
      <rPr>
        <b/>
        <sz val="11"/>
        <color theme="1"/>
        <rFont val="Santander Text"/>
        <family val="2"/>
      </rPr>
      <t>Re-especificação dos 12 campos de Marcação Verde</t>
    </r>
    <r>
      <rPr>
        <sz val="11"/>
        <color theme="1"/>
        <rFont val="Santander Text"/>
        <family val="2"/>
      </rPr>
      <t xml:space="preserve"> em curso de modo a ficar </t>
    </r>
    <r>
      <rPr>
        <b/>
        <sz val="11"/>
        <color theme="1"/>
        <rFont val="Santander Text"/>
        <family val="2"/>
      </rPr>
      <t>alinhada com o que será feito no Green Dashboard</t>
    </r>
    <r>
      <rPr>
        <sz val="11"/>
        <color theme="1"/>
        <rFont val="Santander Text"/>
        <family val="2"/>
      </rPr>
      <t>. Está prevista uma reunião para o dia 13/01 com a área de ESG Risk para conclusão da re-especificação. Adicionalmente, foi realizada uma sessão com a Ana Lamúrias para validação do método de ponderação dos contratos.</t>
    </r>
    <r>
      <rPr>
        <b/>
        <sz val="11"/>
        <color theme="1"/>
        <rFont val="Santander Text"/>
        <family val="2"/>
      </rPr>
      <t xml:space="preserve">
3.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t>
    </r>
    <r>
      <rPr>
        <b/>
        <sz val="11"/>
        <color theme="1"/>
        <rFont val="Santander Text"/>
        <family val="2"/>
      </rPr>
      <t>reabertos os 6 campos</t>
    </r>
    <r>
      <rPr>
        <sz val="11"/>
        <color theme="1"/>
        <rFont val="Santander Text"/>
        <family val="2"/>
      </rPr>
      <t xml:space="preserve"> que necessitam de ser retestados para inclusão da especificação do </t>
    </r>
    <r>
      <rPr>
        <b/>
        <sz val="11"/>
        <color theme="1"/>
        <rFont val="Santander Text"/>
        <family val="2"/>
      </rPr>
      <t>Portfolio de Project Finance</t>
    </r>
    <r>
      <rPr>
        <sz val="11"/>
        <color theme="1"/>
        <rFont val="Santander Text"/>
        <family val="2"/>
      </rPr>
      <t xml:space="preserve"> [conforme referido no último PdS]
- Foram </t>
    </r>
    <r>
      <rPr>
        <b/>
        <sz val="11"/>
        <color theme="1"/>
        <rFont val="Santander Text"/>
        <family val="2"/>
      </rPr>
      <t>concluídos 2 campos</t>
    </r>
    <r>
      <rPr>
        <sz val="11"/>
        <color theme="1"/>
        <rFont val="Santander Text"/>
        <family val="2"/>
      </rPr>
      <t xml:space="preserve"> dos 5 previstos. Os restantes 3 não foram possíveis testar porque sofreram re-especificação devido a alterações no input da Corporação. Os campos foram implementados e entregues por Tecnologia no final da semana, pelo que serão testados durante a próxima semana [conforme referido no último PdS]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</si>
</sst>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tint="-0.499984740745262"/>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0" fontId="73" fillId="0" borderId="0" xfId="0" applyFont="1"/>
  </cellXfs>
  <cellStyles count="4">
    <cellStyle name="Normal" xfId="0" builtinId="0"/>
    <cellStyle name="Normal 2" xfId="3"/>
    <cellStyle name="Normal 3" xfId="2"/>
    <cellStyle name="Percent" xfId="1" builtinId="5"/>
  </cellStyles>
  <dxfs count="302">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10</c:v>
                </c:pt>
                <c:pt idx="1">
                  <c:v>147</c:v>
                </c:pt>
                <c:pt idx="2">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23</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9</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Re-especificação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elete val="1"/>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0">
                  <c:v>1</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4"/>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2.2 Em Re-especificação</c:v>
                </c:pt>
                <c:pt idx="4">
                  <c:v>4. Validação EF</c:v>
                </c:pt>
              </c:strCache>
            </c:strRef>
          </c:cat>
          <c:val>
            <c:numRef>
              <c:f>'Aux - Pivots2'!$C$112:$C$117</c:f>
              <c:numCache>
                <c:formatCode>General</c:formatCode>
                <c:ptCount val="5"/>
                <c:pt idx="0">
                  <c:v>14</c:v>
                </c:pt>
                <c:pt idx="1">
                  <c:v>205</c:v>
                </c:pt>
                <c:pt idx="2">
                  <c:v>13</c:v>
                </c:pt>
                <c:pt idx="3">
                  <c:v>12</c:v>
                </c:pt>
                <c:pt idx="4">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23</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1">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1</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120</c:v>
                </c:pt>
                <c:pt idx="1">
                  <c:v>12</c:v>
                </c:pt>
                <c:pt idx="2">
                  <c:v>1</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2.2 Em Re-especificação</c:v>
                </c:pt>
              </c:strCache>
            </c:strRef>
          </c:cat>
          <c:val>
            <c:numRef>
              <c:f>'Aux - Pivots2'!$C$24:$C$30</c:f>
              <c:numCache>
                <c:formatCode>General</c:formatCode>
                <c:ptCount val="6"/>
                <c:pt idx="0">
                  <c:v>24</c:v>
                </c:pt>
                <c:pt idx="1">
                  <c:v>472</c:v>
                </c:pt>
                <c:pt idx="2">
                  <c:v>25</c:v>
                </c:pt>
                <c:pt idx="3">
                  <c:v>15</c:v>
                </c:pt>
                <c:pt idx="4">
                  <c:v>1</c:v>
                </c:pt>
                <c:pt idx="5">
                  <c:v>12</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trabalho_V5.6.xlsx]Aux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147</c:v>
                </c:pt>
                <c:pt idx="1">
                  <c:v>205</c:v>
                </c:pt>
                <c:pt idx="2">
                  <c:v>120</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13</c:v>
                </c:pt>
                <c:pt idx="2">
                  <c:v>12</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0">
                  <c:v>12</c:v>
                </c:pt>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2.2 Em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12</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68.77869467592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68.77870462962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1. Concluído"/>
        <s v="2.1 Em Teste"/>
        <s v="4. Validação EF"/>
        <s v="5. Em Corre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68.77870682870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68.77870868055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4. Validação EF"/>
        <s v="5. Em Corre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68.77871041666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2.2 Em Re-especificação"/>
        <s v="4. Validação EF"/>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68.7787123842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2.2 Em Re-especificação"/>
        <s v="4. Validação EF"/>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68.77871446758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68.77872534722"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8">
        <s v="4. Validação EF"/>
        <s v="1. Concluído"/>
        <s v="0. Cancelado"/>
        <s v="2.1 Em Teste"/>
        <s v="2.2 Em Re-especificação"/>
        <s v="5. Em Correção"/>
        <s v="6. Em implementação (re-especificação)" u="1"/>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 validar por CDO"/>
    <d v="2024-08-06T00:00:00"/>
    <d v="2024-11-28T00:00:00"/>
    <s v=""/>
    <m/>
    <m/>
    <x v="0"/>
  </r>
  <r>
    <x v="0"/>
    <s v="Bens Imóveis - Input"/>
    <x v="1"/>
    <s v="ENERGY_CERTIFICATE_EST_INPUT"/>
    <s v="PROPERTY_BANK_ID"/>
    <x v="0"/>
    <s v="6. Em implementação (re-especificação)"/>
    <s v="A validar por CDO"/>
    <d v="2024-08-06T00:00:00"/>
    <d v="2024-11-28T00:00:00"/>
    <s v=""/>
    <m/>
    <m/>
    <x v="0"/>
  </r>
  <r>
    <x v="0"/>
    <s v="Bens Imóveis - Input"/>
    <x v="1"/>
    <s v="ENERGY_CERTIFICATE_EST_INPUT"/>
    <s v="ENCRYPTED_KEY"/>
    <x v="0"/>
    <s v="6. Em implementação (re-especificação)"/>
    <s v="A validar por CDO"/>
    <d v="2024-08-06T00:00:00"/>
    <d v="2024-11-28T00:00:00"/>
    <s v=""/>
    <m/>
    <m/>
    <x v="0"/>
  </r>
  <r>
    <x v="0"/>
    <s v="Bens Imóveis - Input"/>
    <x v="1"/>
    <s v="ENERGY_CERTIFICATE_EST_INPUT"/>
    <s v="PROPERTY_BRANCH_CODE"/>
    <x v="0"/>
    <s v="6. Em implementação (re-especificação)"/>
    <s v="A validar por CDO"/>
    <d v="2024-08-06T00:00:00"/>
    <d v="2024-11-28T00:00:00"/>
    <s v=""/>
    <m/>
    <m/>
    <x v="0"/>
  </r>
  <r>
    <x v="0"/>
    <s v="Bens Imóveis - Input"/>
    <x v="1"/>
    <s v="ENERGY_CERTIFICATE_EST_INPUT"/>
    <s v="PROPERTY_CONTRACT_ID"/>
    <x v="0"/>
    <s v="6. Em implementação (re-especificação)"/>
    <s v="A validar por CDO"/>
    <d v="2024-08-06T00:00:00"/>
    <d v="2024-11-28T00:00:00"/>
    <s v=""/>
    <m/>
    <m/>
    <x v="0"/>
  </r>
  <r>
    <x v="0"/>
    <s v="Bens Imóveis - Input"/>
    <x v="1"/>
    <s v="ENERGY_CERTIFICATE_EST_INPUT"/>
    <s v="PROPERTY_REFERENCE_CODE"/>
    <x v="0"/>
    <s v="6. Em implementação (re-especificação)"/>
    <s v="A validar por CDO"/>
    <d v="2024-08-06T00:00:00"/>
    <d v="2024-11-28T00:00:00"/>
    <s v=""/>
    <m/>
    <m/>
    <x v="0"/>
  </r>
  <r>
    <x v="0"/>
    <s v="Bens Imóveis - Input"/>
    <x v="1"/>
    <s v="ENERGY_CERTIFICATE_EST_INPUT"/>
    <s v="DATA_EXTRACTION_DATE"/>
    <x v="0"/>
    <s v="6. Em implementação (re-especificação)"/>
    <s v="A validar por CDO"/>
    <d v="2024-08-06T00:00:00"/>
    <d v="2024-11-28T00:00:00"/>
    <s v=""/>
    <m/>
    <m/>
    <x v="0"/>
  </r>
  <r>
    <x v="0"/>
    <s v="Bens Imóveis - Input"/>
    <x v="1"/>
    <s v="ENERGY_CERTIFICATE_EST_INPUT"/>
    <s v="EPC"/>
    <x v="0"/>
    <s v="6. Em implementação (re-especificação)"/>
    <s v="A validar por CDO"/>
    <d v="2024-08-06T00:00:00"/>
    <d v="2024-11-28T00:00:00"/>
    <s v=""/>
    <m/>
    <m/>
    <x v="0"/>
  </r>
  <r>
    <x v="0"/>
    <s v="Bens Imóveis - Input"/>
    <x v="1"/>
    <s v="ENERGY_CERTIFICATE_EST_INPUT"/>
    <s v="DATA_PROVIDER"/>
    <x v="0"/>
    <s v="6. Em implementação (re-especificação)"/>
    <s v="A validar por CDO"/>
    <d v="2024-08-06T00:00:00"/>
    <d v="2024-11-28T00:00:00"/>
    <s v=""/>
    <m/>
    <m/>
    <x v="0"/>
  </r>
  <r>
    <x v="0"/>
    <s v="Bens Imóveis - Input"/>
    <x v="1"/>
    <s v="ENERGY_CERTIFICATE_EST_INPUT"/>
    <s v="ACTUAL_VALUE_IND"/>
    <x v="0"/>
    <s v="6. Em implementação (re-especificação)"/>
    <s v="A validar por CDO"/>
    <d v="2024-08-06T00:00:00"/>
    <d v="2024-11-28T00:00:00"/>
    <s v=""/>
    <m/>
    <m/>
    <x v="0"/>
  </r>
  <r>
    <x v="0"/>
    <s v="Bens Imóveis - Input"/>
    <x v="1"/>
    <s v="ENERGY_CERTIFICATE_EST_INPUT"/>
    <s v="QUALITY_SCORE"/>
    <x v="0"/>
    <s v="6. Em implementação (re-especificação)"/>
    <s v="A validar por CDO"/>
    <d v="2024-08-06T00:00:00"/>
    <d v="2024-11-28T00:00:00"/>
    <s v=""/>
    <m/>
    <m/>
    <x v="0"/>
  </r>
  <r>
    <x v="0"/>
    <s v="Bens Imóveis - Input"/>
    <x v="1"/>
    <s v="ENERGY_CERTIFICATE_EST_INPUT"/>
    <s v="ENERGY_CONSUMPTION_VALUE_YEAR"/>
    <x v="0"/>
    <s v="6. Em implementação (re-especificação)"/>
    <s v="A validar por CDO"/>
    <d v="2024-08-06T00:00:00"/>
    <d v="2024-11-28T00:00:00"/>
    <s v=""/>
    <m/>
    <m/>
    <x v="0"/>
  </r>
  <r>
    <x v="0"/>
    <s v="Bens Imóveis - Input"/>
    <x v="1"/>
    <s v="ENERGY_CERTIFICATE_EST_INPUT"/>
    <s v="CARBON_EMISSION_VALUE_YEAR"/>
    <x v="0"/>
    <s v="6. Em implementação (re-especificação)"/>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2.1 Em Teste"/>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0"/>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1. Concluído"/>
    <s v="Re-especificação "/>
    <d v="2024-09-26T00:00:00"/>
    <d v="2024-11-18T00:00:00"/>
    <d v="2024-11-19T00:00:00"/>
    <m/>
    <m/>
    <x v="1"/>
  </r>
  <r>
    <x v="0"/>
    <s v="Modelo Verde - Output"/>
    <x v="1"/>
    <s v="modesg_out_empr_info_nfin"/>
    <s v="flg_emprs_excl_paris"/>
    <x v="3"/>
    <s v="6. Em implementação (re-especificação)"/>
    <s v="Re-especificação "/>
    <d v="2024-09-18T00:00:00"/>
    <d v="2024-11-18T00:00:00"/>
    <d v="2024-11-19T00:00:00"/>
    <m/>
    <m/>
    <x v="1"/>
  </r>
  <r>
    <x v="0"/>
    <s v="Modelo Verde - Output"/>
    <x v="1"/>
    <s v="modesg_out_empr_info_nfin"/>
    <s v="flg_nfrd"/>
    <x v="3"/>
    <s v="6. Em implementação (re-especificação)"/>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6. Em implementação (re-especificação)"/>
    <s v="Re-especificação "/>
    <d v="2024-10-04T00:00:00"/>
    <d v="2024-11-18T00:00:00"/>
    <d v="2024-11-19T00:00:00"/>
    <m/>
    <m/>
    <x v="1"/>
  </r>
  <r>
    <x v="0"/>
    <s v="Modelo Verde - Output"/>
    <x v="1"/>
    <s v="modesg_out_empr_info_nfin"/>
    <s v="origem_flg_emprs_excl_paris"/>
    <x v="3"/>
    <s v="6. Em implementação (re-especificação)"/>
    <s v="Re-especificação "/>
    <d v="2024-09-18T00:00:00"/>
    <d v="2024-11-18T00:00:00"/>
    <d v="2024-11-19T00:00:00"/>
    <m/>
    <m/>
    <x v="1"/>
  </r>
  <r>
    <x v="0"/>
    <s v="Modelo Verde - Output"/>
    <x v="1"/>
    <s v="modesg_out_empr_info_nfin"/>
    <s v="origem_flg_nfrd"/>
    <x v="1"/>
    <s v="6. Em implementação (re-especificaçã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3"/>
    <s v="1. Concluído"/>
    <s v="A concluir re-especificação"/>
    <d v="2024-10-04T00:00:00"/>
    <d v="2024-11-25T00:00:00"/>
    <d v="2024-11-26T00:00:00"/>
    <m/>
    <m/>
    <x v="1"/>
  </r>
  <r>
    <x v="0"/>
    <s v="Modelo Verde - Output"/>
    <x v="1"/>
    <s v="modesg_out_empr_info_nfin"/>
    <s v="origem_scp2_emss"/>
    <x v="3"/>
    <s v="1. Concluído"/>
    <s v="A concluir re-especificação"/>
    <d v="2024-10-04T00:00:00"/>
    <d v="2024-11-25T00:00:00"/>
    <d v="2024-11-26T00:00:00"/>
    <m/>
    <m/>
    <x v="1"/>
  </r>
  <r>
    <x v="0"/>
    <s v="Modelo Verde - Output"/>
    <x v="1"/>
    <s v="modesg_out_empr_info_nfin"/>
    <s v="origem_scp3_emss"/>
    <x v="3"/>
    <s v="1. Concluíd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3"/>
    <s v="1. Concluído"/>
    <s v="A concluir re-especificação"/>
    <d v="2024-10-04T00:00:00"/>
    <d v="2024-11-25T00:00:00"/>
    <d v="2024-11-26T00:00:00"/>
    <m/>
    <m/>
    <x v="1"/>
  </r>
  <r>
    <x v="0"/>
    <s v="Modelo Verde - Output"/>
    <x v="1"/>
    <s v="modesg_out_empr_info_nfin"/>
    <s v="scp2_emss"/>
    <x v="3"/>
    <s v="1. Concluído"/>
    <s v="A concluir re-especificação"/>
    <d v="2024-10-04T00:00:00"/>
    <d v="2024-11-25T00:00:00"/>
    <d v="2024-11-26T00:00:00"/>
    <m/>
    <m/>
    <x v="1"/>
  </r>
  <r>
    <x v="0"/>
    <s v="Modelo Verde - Output"/>
    <x v="1"/>
    <s v="modesg_out_empr_info_nfin"/>
    <s v="scp3_emss"/>
    <x v="3"/>
    <s v="1. Concluíd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3"/>
    <s v="1. Concluído"/>
    <m/>
    <s v=""/>
    <d v="2024-11-25T00:00:00"/>
    <d v="2024-10-31T00:00:00"/>
    <m/>
    <m/>
    <x v="2"/>
  </r>
  <r>
    <x v="0"/>
    <s v="Pilar III"/>
    <x v="1"/>
    <s v="lt003_entity"/>
    <s v="cntrprty_emssns_scp2"/>
    <x v="3"/>
    <s v="1. Concluído"/>
    <m/>
    <s v=""/>
    <d v="2024-11-25T00:00:00"/>
    <d v="2024-10-31T00:00:00"/>
    <m/>
    <m/>
    <x v="2"/>
  </r>
  <r>
    <x v="0"/>
    <s v="Pilar III"/>
    <x v="1"/>
    <s v="lt003_entity"/>
    <s v="cntrprty_emssns_scp3"/>
    <x v="3"/>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3"/>
    <s v="1. Concluído"/>
    <m/>
    <d v="2024-10-24T00:00:00"/>
    <s v=""/>
    <d v="2024-12-18T00:00:00"/>
    <d v="2024-10-23T00:00:00"/>
    <m/>
    <x v="2"/>
  </r>
  <r>
    <x v="0"/>
    <s v="Pilar III"/>
    <x v="1"/>
    <s v="lt003_entity"/>
    <s v="grp_emssns_scp2"/>
    <x v="3"/>
    <s v="1. Concluído"/>
    <m/>
    <d v="2024-10-24T00:00:00"/>
    <s v=""/>
    <d v="2024-12-18T00:00:00"/>
    <d v="2024-10-23T00:00:00"/>
    <m/>
    <x v="2"/>
  </r>
  <r>
    <x v="0"/>
    <s v="Pilar III"/>
    <x v="1"/>
    <s v="lt003_entity"/>
    <s v="grp_emssns_scp3"/>
    <x v="3"/>
    <s v="1. Concluíd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5. Em Corre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5. Em Correção"/>
    <m/>
    <d v="2024-10-18T00:00:00"/>
    <d v="2024-10-31T00:00:00"/>
    <d v="2024-10-31T00:00:00"/>
    <m/>
    <m/>
    <x v="2"/>
  </r>
  <r>
    <x v="0"/>
    <s v="Pilar III"/>
    <x v="1"/>
    <s v="lt004_protection"/>
    <s v="emssns_scp1_prtctn"/>
    <x v="1"/>
    <s v="2.1 Em Teste"/>
    <m/>
    <s v=""/>
    <d v="2024-12-05T00:00:00"/>
    <d v="2024-12-05T00:00:00"/>
    <m/>
    <m/>
    <x v="2"/>
  </r>
  <r>
    <x v="0"/>
    <s v="Pilar III"/>
    <x v="1"/>
    <s v="lt004_protection"/>
    <s v="emssns_scp2_prtctn"/>
    <x v="1"/>
    <s v="2.1 Em Teste"/>
    <m/>
    <s v=""/>
    <d v="2024-12-05T00:00:00"/>
    <d v="2024-12-05T00:00:00"/>
    <m/>
    <m/>
    <x v="2"/>
  </r>
  <r>
    <x v="0"/>
    <s v="Pilar III"/>
    <x v="1"/>
    <s v="lt004_protection"/>
    <s v="emssns_scp3_prtctn"/>
    <x v="1"/>
    <s v="2.1 Em Teste"/>
    <m/>
    <s v=""/>
    <d v="2024-12-05T00:00:00"/>
    <d v="2024-12-05T00:00:00"/>
    <m/>
    <m/>
    <x v="2"/>
  </r>
  <r>
    <x v="0"/>
    <s v="Pilar III"/>
    <x v="1"/>
    <s v="lt004_protection"/>
    <s v="mthd_usd_prtctn_scp_1"/>
    <x v="1"/>
    <s v="2.1 Em Teste"/>
    <m/>
    <s v=""/>
    <d v="2024-12-05T00:00:00"/>
    <d v="2024-12-05T00:00:00"/>
    <m/>
    <m/>
    <x v="2"/>
  </r>
  <r>
    <x v="0"/>
    <s v="Pilar III"/>
    <x v="1"/>
    <s v="lt004_protection"/>
    <s v="mthd_usd_prtctn_scp_2"/>
    <x v="1"/>
    <s v="2.1 Em Teste"/>
    <m/>
    <s v=""/>
    <d v="2024-12-05T00:00:00"/>
    <d v="2024-12-05T00:00:00"/>
    <m/>
    <m/>
    <x v="2"/>
  </r>
  <r>
    <x v="0"/>
    <s v="Pilar III"/>
    <x v="1"/>
    <s v="lt004_protection"/>
    <s v="mthd_usd_prtctn_scp_3"/>
    <x v="1"/>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0"/>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3"/>
    <s v="1. Concluído"/>
    <m/>
    <s v=""/>
    <d v="2024-12-05T00:00:00"/>
    <d v="2024-12-05T00:00:00"/>
    <d v="2024-10-28T00:00:00"/>
    <m/>
    <x v="2"/>
  </r>
  <r>
    <x v="0"/>
    <s v="Pilar III"/>
    <x v="1"/>
    <s v="lt002_instrument"/>
    <s v="mthd_usd_instrmnt_scp_2"/>
    <x v="3"/>
    <s v="1. Concluído"/>
    <m/>
    <s v=""/>
    <d v="2024-12-05T00:00:00"/>
    <d v="2024-12-05T00:00:00"/>
    <d v="2024-10-28T00:00:00"/>
    <m/>
    <x v="2"/>
  </r>
  <r>
    <x v="0"/>
    <s v="Pilar III"/>
    <x v="1"/>
    <s v="lt002_instrument"/>
    <s v="mthd_usd_instrmnt_scp_3"/>
    <x v="3"/>
    <s v="1. Concluíd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0"/>
    <s v="4. Validação EF"/>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5. Em Correção"/>
    <s v="Pendente de feedback de CDO - Reunião marcada para dia 28/10"/>
    <d v="2024-10-23T00:00:00"/>
    <d v="2024-11-28T00:00:00"/>
    <d v="2024-11-28T00:00:00"/>
    <d v="2024-10-30T00:00:00"/>
    <m/>
    <x v="2"/>
  </r>
  <r>
    <x v="0"/>
    <s v="Pilar III"/>
    <x v="1"/>
    <s v="lt004_protection"/>
    <s v="orgnl_prtctn_vl"/>
    <x v="5"/>
    <s v="5. Em Correção"/>
    <s v="26/07/2024: Campo não espelhado na documentação da Deloitte (LT ESTR)"/>
    <d v="2024-10-30T00:00:00"/>
    <d v="2024-11-15T00:00:00"/>
    <d v="2024-11-15T00:00:00"/>
    <d v="2024-10-30T00:00:00"/>
    <m/>
    <x v="2"/>
  </r>
  <r>
    <x v="0"/>
    <s v="Pilar III"/>
    <x v="1"/>
    <s v="lt004_protection"/>
    <s v="prtctn_vl"/>
    <x v="1"/>
    <s v="5. Em Correçã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1. Concluído"/>
    <s v="Tema de Loan Tape Estrutural"/>
    <d v="2024-10-28T00:00:00"/>
    <d v="2024-11-28T00:00:00"/>
    <d v="2024-11-28T00:00:00"/>
    <m/>
    <m/>
    <x v="2"/>
  </r>
  <r>
    <x v="0"/>
    <s v="Pilar III"/>
    <x v="1"/>
    <s v="lt004_protection"/>
    <s v="flg_exec"/>
    <x v="1"/>
    <s v="1. Concluído"/>
    <s v="Tema de Loan Tape Estrutural"/>
    <d v="2024-10-28T00:00:00"/>
    <d v="2024-11-28T00:00:00"/>
    <d v="2024-11-28T00:00:00"/>
    <m/>
    <m/>
    <x v="2"/>
  </r>
  <r>
    <x v="0"/>
    <s v="Pilar III"/>
    <x v="1"/>
    <s v="lt004_protection"/>
    <s v="flg_col"/>
    <x v="1"/>
    <s v="5. Em Correção"/>
    <s v="Tema de Loan Tape Estrutural"/>
    <d v="2024-10-28T00:00:00"/>
    <d v="2024-11-28T00:00:00"/>
    <d v="2024-11-28T00:00:00"/>
    <m/>
    <m/>
    <x v="2"/>
  </r>
  <r>
    <x v="0"/>
    <s v="Pilar III"/>
    <x v="1"/>
    <s v="lt004_protection"/>
    <s v="flg_pro"/>
    <x v="1"/>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20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4" cacheId="2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9">
        <item x="2"/>
        <item x="1"/>
        <item x="3"/>
        <item m="1" x="7"/>
        <item x="0"/>
        <item x="5"/>
        <item m="1" x="6"/>
        <item x="4"/>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2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9">
        <item x="2"/>
        <item x="1"/>
        <item x="3"/>
        <item m="1" x="7"/>
        <item x="0"/>
        <item x="5"/>
        <item m="1" x="6"/>
        <item x="4"/>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4"/>
        <item x="1"/>
        <item x="3"/>
        <item x="2"/>
      </items>
    </pivotField>
    <pivotField dataField="1" subtotalTop="0" showAll="0" defaultSubtotal="0"/>
  </pivotFields>
  <rowFields count="1">
    <field x="3"/>
  </rowFields>
  <rowItems count="5">
    <i>
      <x/>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2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8">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 chart="6" format="27">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9" cacheId="2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7" format="22" series="1">
      <pivotArea type="data" outline="0" fieldPosition="0">
        <references count="2">
          <reference field="4294967294" count="1" selected="0">
            <x v="0"/>
          </reference>
          <reference field="5" count="1" selected="0">
            <x v="0"/>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2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0"/>
          </reference>
          <reference field="5" count="1" selected="0">
            <x v="4"/>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 chart="3" format="53"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82" tableBorderDxfId="281">
  <autoFilter ref="B6:O574">
    <filterColumn colId="1">
      <filters>
        <filter val="Modelo Verde - Output"/>
      </filters>
    </filterColumn>
    <filterColumn colId="3">
      <filters>
        <filter val="modesg_out_empr_info_nfin"/>
      </filters>
    </filterColumn>
  </autoFilter>
  <tableColumns count="14">
    <tableColumn id="1" name="Âmbito" dataDxfId="280"/>
    <tableColumn id="2" name="Sub-âmbito" dataDxfId="279"/>
    <tableColumn id="3" name="Tipo de teste" dataDxfId="278"/>
    <tableColumn id="4" name="Tabela" dataDxfId="277"/>
    <tableColumn id="5" name="Campo" dataDxfId="276"/>
    <tableColumn id="6" name="Status Atual" dataDxfId="275"/>
    <tableColumn id="7" name="Status Anterior" dataDxfId="30"/>
    <tableColumn id="8" name="Observações" dataDxfId="274"/>
    <tableColumn id="9" name="Data de Pedido correção/esclarecimento" dataDxfId="273">
      <calculatedColumnFormula>IF(VLOOKUP(A7,'Aux - pivots1'!$A:$E,3,0)=0, "",VLOOKUP(A7,'Aux - pivots1'!$A:$E,3,0))</calculatedColumnFormula>
    </tableColumn>
    <tableColumn id="10" name="Data de correção prevista" dataDxfId="272">
      <calculatedColumnFormula>IF(VLOOKUP(A7,'Aux - pivots1'!$A:$E,4,0)=0, "",VLOOKUP(A7,'Aux - pivots1'!$A:$E,4,0))</calculatedColumnFormula>
    </tableColumn>
    <tableColumn id="11" name="Data de correção efetiva" dataDxfId="271">
      <calculatedColumnFormula>IF(VLOOKUP(A7,'Aux - pivots1'!$A:$E,5,0)=0, "",VLOOKUP(A7,'Aux - pivots1'!$A:$E,5,0))</calculatedColumnFormula>
    </tableColumn>
    <tableColumn id="12" name="Data Prevista de Re-especificação" dataDxfId="270"/>
    <tableColumn id="13" name="Data Prevista de Teste" dataDxfId="269"/>
    <tableColumn id="14" name="Modelo" dataDxfId="268"/>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50" dataDxfId="148" totalsRowDxfId="146" headerRowBorderDxfId="149" tableBorderDxfId="147" totalsRowBorderDxfId="145">
  <autoFilter ref="B8:X1320">
    <filterColumn colId="1">
      <filters>
        <filter val="Modelo Verde - Output"/>
      </filters>
    </filterColumn>
    <filterColumn colId="4">
      <filters>
        <filter val="modesg_out_sfcs_taxon_europeia"/>
      </filters>
    </filterColumn>
    <filterColumn colId="7">
      <filters>
        <filter val="6. Em implementação (re-especificação)"/>
      </filters>
    </filterColumn>
  </autoFilter>
  <tableColumns count="23">
    <tableColumn id="1" name="Âmbito" dataDxfId="144" totalsRowDxfId="143"/>
    <tableColumn id="12" name="Sub-âmbito" dataDxfId="142" totalsRowDxfId="141"/>
    <tableColumn id="2" name="Origem" dataDxfId="140" totalsRowDxfId="139"/>
    <tableColumn id="18" name="Campo Origem" dataDxfId="138" totalsRowDxfId="137"/>
    <tableColumn id="5" name="Tabela" dataDxfId="136" totalsRowDxfId="135"/>
    <tableColumn id="3" name="Campo" dataDxfId="134" totalsRowDxfId="133"/>
    <tableColumn id="20" name="concat" dataDxfId="132" totalsRowDxfId="131">
      <calculatedColumnFormula>Table1[[#This Row],[Tabela]]&amp;Table1[[#This Row],[Campo]]</calculatedColumnFormula>
    </tableColumn>
    <tableColumn id="4" name="Status" dataDxfId="130" totalsRowDxfId="129"/>
    <tableColumn id="19" name="Status2" dataDxfId="128">
      <calculatedColumnFormula>VLOOKUP(Table1[[#This Row],[Status]],Auxiliar!$B$16:$C$24,2,0)</calculatedColumnFormula>
    </tableColumn>
    <tableColumn id="6" name="Tipologia_Testes" dataDxfId="127" totalsRowDxfId="126"/>
    <tableColumn id="10" name="Necessidade de re-especificação? (campo)" dataDxfId="125" totalsRowDxfId="124"/>
    <tableColumn id="9" name="Complexidade" dataDxfId="123" totalsRowDxfId="122"/>
    <tableColumn id="17" name="Data de Alteração Status" dataDxfId="121" totalsRowDxfId="120"/>
    <tableColumn id="8" name="Estimação (horas)" totalsRowFunction="custom" dataDxfId="119" totalsRowDxfId="118">
      <calculatedColumnFormula>INDEX(Auxiliar!$D$5:$F$11,MATCH(Table1[[#This Row],[Tipologia_Testes]],Auxiliar!$B$5:$B$11,0),MATCH(Table1[[#This Row],[Complexidade]],Auxiliar!$D$4:$F$4,0))</calculatedColumnFormula>
      <totalsRowFormula>SUMIF(Table1[Estimação (horas)],"&gt;0")</totalsRowFormula>
    </tableColumn>
    <tableColumn id="7" name="Notas" dataDxfId="117" totalsRowDxfId="116"/>
    <tableColumn id="11" name="Owner" dataDxfId="115" totalsRowDxfId="114"/>
    <tableColumn id="21" name="Data alteração especificação" dataDxfId="113" totalsRowDxfId="112"/>
    <tableColumn id="13" name="Data de inicio testes" dataDxfId="111" totalsRowDxfId="110"/>
    <tableColumn id="14" name="Data de incidência / pedido esclarecimento" dataDxfId="109" totalsRowDxfId="108"/>
    <tableColumn id="15" name="Data de correção/resposta prevista" dataDxfId="107" totalsRowDxfId="106"/>
    <tableColumn id="22" name="Data de correção/resposta efetiva" dataDxfId="105" totalsRowDxfId="104"/>
    <tableColumn id="23" name="Horas efetivas" dataDxfId="103" totalsRowDxfId="102">
      <calculatedColumnFormula>VLOOKUP(Table1[[#This Row],[Status]],Auxiliar!$B$16:$D$24,3,0)*Table1[[#This Row],[Estimação (horas)]]</calculatedColumnFormula>
    </tableColumn>
    <tableColumn id="16" name="Query" dataDxfId="101" totalsRowDxfId="100"/>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2.2 Em Re-especificação</v>
      </c>
      <c r="H431" s="65">
        <f>VLOOKUP(A431,'Aux - pivots1'!$A:$B,2,0)</f>
        <v>3</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2.2 Em Re-especificação</v>
      </c>
      <c r="H432" s="65">
        <f>VLOOKUP(A432,'Aux - pivots1'!$A:$B,2,0)</f>
        <v>3</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2.2 Em Re-especificação</v>
      </c>
      <c r="H433" s="65">
        <f>VLOOKUP(A433,'Aux - pivots1'!$A:$B,2,0)</f>
        <v>3</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2.2 Em Re-especificação</v>
      </c>
      <c r="H434" s="65">
        <f>VLOOKUP(A434,'Aux - pivots1'!$A:$B,2,0)</f>
        <v>3</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2.2 Em Re-especificação</v>
      </c>
      <c r="H435" s="65">
        <f>VLOOKUP(A435,'Aux - pivots1'!$A:$B,2,0)</f>
        <v>3</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2.2 Em Re-especificação</v>
      </c>
      <c r="H437" s="65">
        <f>VLOOKUP(A437,'Aux - pivots1'!$A:$B,2,0)</f>
        <v>3</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2.2 Em Re-especificação</v>
      </c>
      <c r="H438" s="65">
        <f>VLOOKUP(A438,'Aux - pivots1'!$A:$B,2,0)</f>
        <v>3</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2.2 Em Re-especificação</v>
      </c>
      <c r="H439" s="65">
        <f>VLOOKUP(A439,'Aux - pivots1'!$A:$B,2,0)</f>
        <v>3</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2.2 Em Re-especificação</v>
      </c>
      <c r="H440" s="65">
        <f>VLOOKUP(A440,'Aux - pivots1'!$A:$B,2,0)</f>
        <v>3</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2.2 Em Re-especificação</v>
      </c>
      <c r="H441" s="65">
        <f>VLOOKUP(A441,'Aux - pivots1'!$A:$B,2,0)</f>
        <v>3</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2.2 Em Re-especificação</v>
      </c>
      <c r="H442" s="65">
        <f>VLOOKUP(A442,'Aux - pivots1'!$A:$B,2,0)</f>
        <v>3</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2.2 Em Re-especificação</v>
      </c>
      <c r="H444" s="65">
        <f>VLOOKUP(A444,'Aux - pivots1'!$A:$B,2,0)</f>
        <v>3</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2.2 Em Re-especificação</v>
      </c>
      <c r="H445" s="65">
        <f>VLOOKUP(A445,'Aux - pivots1'!$A:$B,2,0)</f>
        <v>3</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301" priority="11" operator="notEqual">
      <formula>0</formula>
    </cfRule>
  </conditionalFormatting>
  <conditionalFormatting sqref="L21:L23">
    <cfRule type="cellIs" dxfId="300" priority="3" operator="notEqual">
      <formula>0</formula>
    </cfRule>
  </conditionalFormatting>
  <conditionalFormatting sqref="L577:L579">
    <cfRule type="cellIs" dxfId="299" priority="2" operator="notEqual">
      <formula>0</formula>
    </cfRule>
  </conditionalFormatting>
  <conditionalFormatting sqref="L582:L636">
    <cfRule type="cellIs" dxfId="298" priority="1" operator="notEqual">
      <formula>0</formula>
    </cfRule>
  </conditionalFormatting>
  <conditionalFormatting sqref="M5:M6 N6:FK6">
    <cfRule type="cellIs" dxfId="297" priority="12" operator="notEqual">
      <formula>0</formula>
    </cfRule>
  </conditionalFormatting>
  <conditionalFormatting sqref="M15:FK18 M21:FK23 M577:FK579 M636:FK636">
    <cfRule type="cellIs" dxfId="296" priority="10" operator="greaterThan">
      <formula>0</formula>
    </cfRule>
  </conditionalFormatting>
  <conditionalFormatting sqref="M26:FK27">
    <cfRule type="cellIs" dxfId="295" priority="9" operator="greaterThan">
      <formula>0</formula>
    </cfRule>
  </conditionalFormatting>
  <conditionalFormatting sqref="M42:FK42">
    <cfRule type="cellIs" dxfId="294" priority="8" operator="greaterThan">
      <formula>0</formula>
    </cfRule>
  </conditionalFormatting>
  <conditionalFormatting sqref="M198:FK198">
    <cfRule type="cellIs" dxfId="293" priority="7" operator="greaterThan">
      <formula>0</formula>
    </cfRule>
  </conditionalFormatting>
  <conditionalFormatting sqref="M362:FK362">
    <cfRule type="cellIs" dxfId="292" priority="6" operator="greaterThan">
      <formula>0</formula>
    </cfRule>
  </conditionalFormatting>
  <conditionalFormatting sqref="M447:FK447">
    <cfRule type="cellIs" dxfId="291" priority="5" operator="greaterThan">
      <formula>0</formula>
    </cfRule>
  </conditionalFormatting>
  <conditionalFormatting sqref="M582:FK583">
    <cfRule type="cellIs" dxfId="29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opLeftCell="H78" zoomScale="70" zoomScaleNormal="70" workbookViewId="0">
      <selection activeCell="V94" sqref="V94"/>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4" t="s">
        <v>2056</v>
      </c>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6"/>
      <c r="AH8" s="117"/>
    </row>
    <row r="9" spans="1:34" ht="17.7" customHeight="1">
      <c r="A9" s="117"/>
      <c r="B9" s="397"/>
      <c r="C9" s="398"/>
      <c r="D9" s="398"/>
      <c r="E9" s="398"/>
      <c r="F9" s="398"/>
      <c r="G9" s="398"/>
      <c r="H9" s="398"/>
      <c r="I9" s="398"/>
      <c r="J9" s="398"/>
      <c r="K9" s="398"/>
      <c r="L9" s="398"/>
      <c r="M9" s="398"/>
      <c r="N9" s="398"/>
      <c r="O9" s="398"/>
      <c r="P9" s="398"/>
      <c r="Q9" s="398"/>
      <c r="R9" s="398"/>
      <c r="S9" s="398"/>
      <c r="T9" s="398"/>
      <c r="U9" s="398"/>
      <c r="V9" s="398"/>
      <c r="W9" s="398"/>
      <c r="X9" s="398"/>
      <c r="Y9" s="398"/>
      <c r="Z9" s="398"/>
      <c r="AA9" s="398"/>
      <c r="AB9" s="398"/>
      <c r="AC9" s="398"/>
      <c r="AD9" s="398"/>
      <c r="AE9" s="398"/>
      <c r="AF9" s="398"/>
      <c r="AG9" s="399"/>
      <c r="AH9" s="117"/>
    </row>
    <row r="10" spans="1:34" ht="17.7" customHeight="1">
      <c r="A10" s="117"/>
      <c r="B10" s="397"/>
      <c r="C10" s="398"/>
      <c r="D10" s="398"/>
      <c r="E10" s="398"/>
      <c r="F10" s="398"/>
      <c r="G10" s="398"/>
      <c r="H10" s="398"/>
      <c r="I10" s="398"/>
      <c r="J10" s="398"/>
      <c r="K10" s="398"/>
      <c r="L10" s="398"/>
      <c r="M10" s="398"/>
      <c r="N10" s="398"/>
      <c r="O10" s="398"/>
      <c r="P10" s="398"/>
      <c r="Q10" s="398"/>
      <c r="R10" s="398"/>
      <c r="S10" s="398"/>
      <c r="T10" s="398"/>
      <c r="U10" s="398"/>
      <c r="V10" s="398"/>
      <c r="W10" s="398"/>
      <c r="X10" s="398"/>
      <c r="Y10" s="398"/>
      <c r="Z10" s="398"/>
      <c r="AA10" s="398"/>
      <c r="AB10" s="398"/>
      <c r="AC10" s="398"/>
      <c r="AD10" s="398"/>
      <c r="AE10" s="398"/>
      <c r="AF10" s="398"/>
      <c r="AG10" s="399"/>
      <c r="AH10" s="117"/>
    </row>
    <row r="11" spans="1:34" ht="17.7" customHeight="1">
      <c r="A11" s="117"/>
      <c r="B11" s="400"/>
      <c r="C11" s="401"/>
      <c r="D11" s="401"/>
      <c r="E11" s="401"/>
      <c r="F11" s="401"/>
      <c r="G11" s="401"/>
      <c r="H11" s="401"/>
      <c r="I11" s="401"/>
      <c r="J11" s="401"/>
      <c r="K11" s="401"/>
      <c r="L11" s="401"/>
      <c r="M11" s="401"/>
      <c r="N11" s="401"/>
      <c r="O11" s="401"/>
      <c r="P11" s="401"/>
      <c r="Q11" s="401"/>
      <c r="R11" s="401"/>
      <c r="S11" s="401"/>
      <c r="T11" s="401"/>
      <c r="U11" s="401"/>
      <c r="V11" s="401"/>
      <c r="W11" s="401"/>
      <c r="X11" s="401"/>
      <c r="Y11" s="401"/>
      <c r="Z11" s="401"/>
      <c r="AA11" s="401"/>
      <c r="AB11" s="401"/>
      <c r="AC11" s="401"/>
      <c r="AD11" s="401"/>
      <c r="AE11" s="401"/>
      <c r="AF11" s="401"/>
      <c r="AG11" s="402"/>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2024</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23"/>
      <c r="Y17" s="424"/>
      <c r="Z17" s="424"/>
      <c r="AA17" s="424"/>
      <c r="AB17" s="424"/>
      <c r="AC17" s="424"/>
      <c r="AD17" s="424"/>
      <c r="AE17" s="424"/>
      <c r="AF17" s="425"/>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473</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472</v>
      </c>
      <c r="V18" s="26">
        <f t="shared" ref="V18:V25" si="0">U18-T18</f>
        <v>-1</v>
      </c>
      <c r="W18" s="339"/>
      <c r="X18" s="426"/>
      <c r="Y18" s="427"/>
      <c r="Z18" s="427"/>
      <c r="AA18" s="427"/>
      <c r="AB18" s="427"/>
      <c r="AC18" s="427"/>
      <c r="AD18" s="427"/>
      <c r="AE18" s="427"/>
      <c r="AF18" s="428"/>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26</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25</v>
      </c>
      <c r="V19" s="26">
        <f t="shared" si="0"/>
        <v>-1</v>
      </c>
      <c r="W19" s="339"/>
      <c r="X19" s="426"/>
      <c r="Y19" s="427"/>
      <c r="Z19" s="427"/>
      <c r="AA19" s="427"/>
      <c r="AB19" s="427"/>
      <c r="AC19" s="427"/>
      <c r="AD19" s="427"/>
      <c r="AE19" s="427"/>
      <c r="AF19" s="428"/>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12</v>
      </c>
      <c r="V20" s="26">
        <f t="shared" si="0"/>
        <v>12</v>
      </c>
      <c r="W20" s="339"/>
      <c r="X20" s="426"/>
      <c r="Y20" s="427"/>
      <c r="Z20" s="427"/>
      <c r="AA20" s="427"/>
      <c r="AB20" s="427"/>
      <c r="AC20" s="427"/>
      <c r="AD20" s="427"/>
      <c r="AE20" s="427"/>
      <c r="AF20" s="428"/>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0</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0</v>
      </c>
      <c r="W21" s="339"/>
      <c r="X21" s="426"/>
      <c r="Y21" s="427"/>
      <c r="Z21" s="427"/>
      <c r="AA21" s="427"/>
      <c r="AB21" s="427"/>
      <c r="AC21" s="427"/>
      <c r="AD21" s="427"/>
      <c r="AE21" s="427"/>
      <c r="AF21" s="428"/>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3</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15</v>
      </c>
      <c r="V22" s="26">
        <f t="shared" si="0"/>
        <v>12</v>
      </c>
      <c r="W22" s="339"/>
      <c r="X22" s="426"/>
      <c r="Y22" s="427"/>
      <c r="Z22" s="427"/>
      <c r="AA22" s="427"/>
      <c r="AB22" s="427"/>
      <c r="AC22" s="427"/>
      <c r="AD22" s="427"/>
      <c r="AE22" s="427"/>
      <c r="AF22" s="428"/>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6</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v>
      </c>
      <c r="V23" s="26">
        <f t="shared" si="0"/>
        <v>-5</v>
      </c>
      <c r="W23" s="339"/>
      <c r="X23" s="426"/>
      <c r="Y23" s="427"/>
      <c r="Z23" s="427"/>
      <c r="AA23" s="427"/>
      <c r="AB23" s="427"/>
      <c r="AC23" s="427"/>
      <c r="AD23" s="427"/>
      <c r="AE23" s="427"/>
      <c r="AF23" s="428"/>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17</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0</v>
      </c>
      <c r="V24" s="26">
        <f t="shared" si="0"/>
        <v>-17</v>
      </c>
      <c r="W24" s="339"/>
      <c r="X24" s="426"/>
      <c r="Y24" s="427"/>
      <c r="Z24" s="427"/>
      <c r="AA24" s="427"/>
      <c r="AB24" s="427"/>
      <c r="AC24" s="427"/>
      <c r="AD24" s="427"/>
      <c r="AE24" s="427"/>
      <c r="AF24" s="428"/>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26"/>
      <c r="Y25" s="427"/>
      <c r="Z25" s="427"/>
      <c r="AA25" s="427"/>
      <c r="AB25" s="427"/>
      <c r="AC25" s="427"/>
      <c r="AD25" s="427"/>
      <c r="AE25" s="427"/>
      <c r="AF25" s="428"/>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29"/>
      <c r="Y26" s="430"/>
      <c r="Z26" s="430"/>
      <c r="AA26" s="430"/>
      <c r="AB26" s="430"/>
      <c r="AC26" s="430"/>
      <c r="AD26" s="430"/>
      <c r="AE26" s="430"/>
      <c r="AF26" s="431"/>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2031</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5">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5">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AF34" s="387"/>
      <c r="AG34" s="354"/>
      <c r="AH34" s="348"/>
    </row>
    <row r="35" spans="1:35" ht="17.399999999999999" customHeight="1">
      <c r="A35" s="117"/>
      <c r="B35" s="352"/>
      <c r="C35" s="358"/>
      <c r="D35" s="359" t="s">
        <v>2039</v>
      </c>
      <c r="E35" s="359" t="s">
        <v>2040</v>
      </c>
      <c r="F35" s="359" t="s">
        <v>2041</v>
      </c>
      <c r="G35" s="360" t="s">
        <v>2032</v>
      </c>
      <c r="H35" s="372">
        <v>45646</v>
      </c>
      <c r="I35" s="372">
        <v>45649</v>
      </c>
      <c r="J35" s="384" t="s">
        <v>2054</v>
      </c>
      <c r="K35" s="372">
        <v>45660</v>
      </c>
      <c r="L35" s="372">
        <v>45667</v>
      </c>
      <c r="M35" s="383">
        <v>45667</v>
      </c>
      <c r="N35" s="372">
        <v>45674</v>
      </c>
      <c r="O35" s="372">
        <v>45678</v>
      </c>
      <c r="P35" s="360" t="s">
        <v>2036</v>
      </c>
      <c r="Q35" s="353"/>
      <c r="R35" s="353"/>
      <c r="S35" s="353"/>
      <c r="T35" s="353"/>
      <c r="U35" s="391"/>
      <c r="V35" s="391"/>
      <c r="W35" s="388"/>
      <c r="X35" s="432" t="s">
        <v>2055</v>
      </c>
      <c r="Y35" s="433"/>
      <c r="Z35" s="433"/>
      <c r="AA35" s="433"/>
      <c r="AB35" s="433"/>
      <c r="AC35" s="433"/>
      <c r="AD35" s="433"/>
      <c r="AE35" s="433"/>
      <c r="AF35" s="434"/>
      <c r="AG35" s="389"/>
      <c r="AH35" s="386"/>
      <c r="AI35" s="348"/>
    </row>
    <row r="36" spans="1:35">
      <c r="A36" s="117"/>
      <c r="B36" s="352"/>
      <c r="C36" s="359" t="s">
        <v>2034</v>
      </c>
      <c r="D36" s="361">
        <f>T72</f>
        <v>169</v>
      </c>
      <c r="E36" s="361">
        <f>T64</f>
        <v>146</v>
      </c>
      <c r="F36" s="361">
        <f>T63</f>
        <v>10</v>
      </c>
      <c r="G36" s="362">
        <f>D36-E36-F36</f>
        <v>13</v>
      </c>
      <c r="H36" s="361">
        <v>0</v>
      </c>
      <c r="I36" s="361">
        <v>0</v>
      </c>
      <c r="J36" s="361">
        <v>0</v>
      </c>
      <c r="K36" s="361">
        <v>0</v>
      </c>
      <c r="L36" s="361">
        <v>13</v>
      </c>
      <c r="M36" s="361">
        <v>13</v>
      </c>
      <c r="N36" s="361">
        <v>0</v>
      </c>
      <c r="O36" s="361">
        <v>0</v>
      </c>
      <c r="P36" s="362">
        <f>SUM(M36:O36)</f>
        <v>13</v>
      </c>
      <c r="Q36" s="353"/>
      <c r="R36" s="353"/>
      <c r="S36" s="353"/>
      <c r="T36" s="353"/>
      <c r="U36" s="391"/>
      <c r="V36" s="391"/>
      <c r="W36" s="388"/>
      <c r="X36" s="435"/>
      <c r="Y36" s="436"/>
      <c r="Z36" s="436"/>
      <c r="AA36" s="436"/>
      <c r="AB36" s="436"/>
      <c r="AC36" s="436"/>
      <c r="AD36" s="436"/>
      <c r="AE36" s="436"/>
      <c r="AF36" s="437"/>
      <c r="AG36" s="389"/>
      <c r="AH36" s="386"/>
      <c r="AI36" s="348"/>
    </row>
    <row r="37" spans="1:35">
      <c r="A37" s="117"/>
      <c r="B37" s="352"/>
      <c r="C37" s="359" t="s">
        <v>2035</v>
      </c>
      <c r="D37" s="361">
        <f>T96</f>
        <v>245</v>
      </c>
      <c r="E37" s="361">
        <f>T88</f>
        <v>209</v>
      </c>
      <c r="F37" s="361">
        <f>T87</f>
        <v>14</v>
      </c>
      <c r="G37" s="362">
        <f>D37-E37-F37</f>
        <v>22</v>
      </c>
      <c r="H37" s="361">
        <v>16</v>
      </c>
      <c r="I37" s="361">
        <v>0</v>
      </c>
      <c r="J37" s="361">
        <v>11</v>
      </c>
      <c r="K37" s="361">
        <v>0</v>
      </c>
      <c r="L37" s="361">
        <v>0</v>
      </c>
      <c r="M37" s="361">
        <v>5</v>
      </c>
      <c r="N37" s="361">
        <f>4+12</f>
        <v>16</v>
      </c>
      <c r="O37" s="361" t="s">
        <v>1951</v>
      </c>
      <c r="P37" s="363">
        <f>SUM(M37:O37)</f>
        <v>21</v>
      </c>
      <c r="Q37" s="353"/>
      <c r="R37" s="353"/>
      <c r="S37" s="353"/>
      <c r="T37" s="353"/>
      <c r="U37" s="391"/>
      <c r="V37" s="391"/>
      <c r="W37" s="388"/>
      <c r="X37" s="435"/>
      <c r="Y37" s="436"/>
      <c r="Z37" s="436"/>
      <c r="AA37" s="436"/>
      <c r="AB37" s="436"/>
      <c r="AC37" s="436"/>
      <c r="AD37" s="436"/>
      <c r="AE37" s="436"/>
      <c r="AF37" s="437"/>
      <c r="AG37" s="389"/>
      <c r="AH37" s="386"/>
      <c r="AI37" s="348"/>
    </row>
    <row r="38" spans="1:35" ht="18" thickBot="1">
      <c r="A38" s="117"/>
      <c r="B38" s="352"/>
      <c r="C38" s="359" t="s">
        <v>26</v>
      </c>
      <c r="D38" s="361">
        <f>T131</f>
        <v>135</v>
      </c>
      <c r="E38" s="361">
        <f>T123</f>
        <v>118</v>
      </c>
      <c r="F38" s="361">
        <f>T122</f>
        <v>0</v>
      </c>
      <c r="G38" s="362">
        <f>D38-E38-F38</f>
        <v>17</v>
      </c>
      <c r="H38" s="361">
        <v>23</v>
      </c>
      <c r="I38" s="361">
        <v>6</v>
      </c>
      <c r="J38" s="361">
        <v>15</v>
      </c>
      <c r="K38" s="361">
        <v>0</v>
      </c>
      <c r="L38" s="361">
        <v>0</v>
      </c>
      <c r="M38" s="361">
        <v>14</v>
      </c>
      <c r="N38" s="361">
        <v>3</v>
      </c>
      <c r="O38" s="361">
        <v>0</v>
      </c>
      <c r="P38" s="362">
        <f>SUM(M38:O38)</f>
        <v>17</v>
      </c>
      <c r="Q38" s="353"/>
      <c r="R38" s="353"/>
      <c r="S38" s="353"/>
      <c r="T38" s="353"/>
      <c r="U38" s="391"/>
      <c r="V38" s="391"/>
      <c r="W38" s="388"/>
      <c r="X38" s="435"/>
      <c r="Y38" s="436"/>
      <c r="Z38" s="436"/>
      <c r="AA38" s="436"/>
      <c r="AB38" s="436"/>
      <c r="AC38" s="436"/>
      <c r="AD38" s="436"/>
      <c r="AE38" s="436"/>
      <c r="AF38" s="437"/>
      <c r="AG38" s="389"/>
      <c r="AH38" s="386"/>
      <c r="AI38" s="348"/>
    </row>
    <row r="39" spans="1:35" ht="18" thickBot="1">
      <c r="A39" s="117"/>
      <c r="B39" s="352"/>
      <c r="C39" s="364" t="s">
        <v>2033</v>
      </c>
      <c r="D39" s="365">
        <f t="shared" ref="D39:G39" si="1">SUM(D36:D38)</f>
        <v>549</v>
      </c>
      <c r="E39" s="365">
        <f t="shared" si="1"/>
        <v>473</v>
      </c>
      <c r="F39" s="365">
        <f t="shared" si="1"/>
        <v>24</v>
      </c>
      <c r="G39" s="366">
        <f t="shared" si="1"/>
        <v>52</v>
      </c>
      <c r="H39" s="365">
        <f>SUM(H36:H38)</f>
        <v>39</v>
      </c>
      <c r="I39" s="365">
        <v>6</v>
      </c>
      <c r="J39" s="365">
        <f>SUM(J36:J38)</f>
        <v>26</v>
      </c>
      <c r="K39" s="365">
        <v>0</v>
      </c>
      <c r="L39" s="365">
        <v>13</v>
      </c>
      <c r="M39" s="365">
        <f>SUM(M36:M38)</f>
        <v>32</v>
      </c>
      <c r="N39" s="365">
        <f>SUM(N36:N38)</f>
        <v>19</v>
      </c>
      <c r="O39" s="365">
        <v>0</v>
      </c>
      <c r="P39" s="366">
        <f>SUM(P36:P38)</f>
        <v>51</v>
      </c>
      <c r="Q39" s="353"/>
      <c r="R39" s="353"/>
      <c r="S39" s="353"/>
      <c r="T39" s="353"/>
      <c r="U39" s="391"/>
      <c r="V39" s="391"/>
      <c r="W39" s="388"/>
      <c r="X39" s="435"/>
      <c r="Y39" s="436"/>
      <c r="Z39" s="436"/>
      <c r="AA39" s="436"/>
      <c r="AB39" s="436"/>
      <c r="AC39" s="436"/>
      <c r="AD39" s="436"/>
      <c r="AE39" s="436"/>
      <c r="AF39" s="437"/>
      <c r="AG39" s="389"/>
      <c r="AH39" s="386"/>
      <c r="AI39" s="348"/>
    </row>
    <row r="40" spans="1:35">
      <c r="A40" s="117"/>
      <c r="B40" s="352"/>
      <c r="C40" s="353" t="s">
        <v>13</v>
      </c>
      <c r="D40" s="353"/>
      <c r="E40" s="367">
        <f>E39/$D$39</f>
        <v>0.86156648451730422</v>
      </c>
      <c r="F40" s="367">
        <f>F39/$D$39</f>
        <v>4.3715846994535519E-2</v>
      </c>
      <c r="G40" s="367">
        <f>G39/$D$39</f>
        <v>9.4717668488160295E-2</v>
      </c>
      <c r="H40" s="353"/>
      <c r="I40" s="353"/>
      <c r="J40" s="353"/>
      <c r="K40" s="353"/>
      <c r="L40" s="353"/>
      <c r="M40" s="353"/>
      <c r="N40" s="353"/>
      <c r="O40" s="353"/>
      <c r="P40" s="353"/>
      <c r="Q40" s="353"/>
      <c r="R40" s="353"/>
      <c r="S40" s="353"/>
      <c r="T40" s="382"/>
      <c r="U40" s="353"/>
      <c r="V40" s="391"/>
      <c r="W40" s="391"/>
      <c r="X40" s="435"/>
      <c r="Y40" s="436"/>
      <c r="Z40" s="436"/>
      <c r="AA40" s="436"/>
      <c r="AB40" s="436"/>
      <c r="AC40" s="436"/>
      <c r="AD40" s="436"/>
      <c r="AE40" s="436"/>
      <c r="AF40" s="437"/>
      <c r="AG40" s="390"/>
      <c r="AH40" s="348"/>
    </row>
    <row r="41" spans="1:35">
      <c r="A41" s="117"/>
      <c r="B41" s="352"/>
      <c r="C41" s="368" t="s">
        <v>2037</v>
      </c>
      <c r="D41" s="353"/>
      <c r="E41" s="369">
        <f>E39/($D$39-$F$39)</f>
        <v>0.90095238095238095</v>
      </c>
      <c r="F41" s="370" t="s">
        <v>2038</v>
      </c>
      <c r="G41" s="369">
        <f>G39/($D$39-$F$39)</f>
        <v>9.9047619047619051E-2</v>
      </c>
      <c r="H41" s="353"/>
      <c r="I41" s="353"/>
      <c r="J41" s="353"/>
      <c r="K41" s="353"/>
      <c r="L41" s="353"/>
      <c r="M41" s="353"/>
      <c r="N41" s="353"/>
      <c r="O41" s="353"/>
      <c r="P41" s="353"/>
      <c r="Q41" s="353"/>
      <c r="R41" s="353"/>
      <c r="S41" s="353"/>
      <c r="T41" s="382"/>
      <c r="U41" s="353"/>
      <c r="V41" s="391"/>
      <c r="W41" s="391"/>
      <c r="X41" s="435"/>
      <c r="Y41" s="436"/>
      <c r="Z41" s="436"/>
      <c r="AA41" s="436"/>
      <c r="AB41" s="436"/>
      <c r="AC41" s="436"/>
      <c r="AD41" s="436"/>
      <c r="AE41" s="436"/>
      <c r="AF41" s="437"/>
      <c r="AG41" s="390"/>
      <c r="AH41" s="348"/>
    </row>
    <row r="42" spans="1:35">
      <c r="A42" s="117"/>
      <c r="B42" s="352"/>
      <c r="C42" s="353"/>
      <c r="D42" s="353"/>
      <c r="E42" s="353"/>
      <c r="F42" s="353"/>
      <c r="G42" s="353"/>
      <c r="H42" s="353"/>
      <c r="I42" s="353"/>
      <c r="J42" s="353"/>
      <c r="K42" s="353"/>
      <c r="L42" s="353"/>
      <c r="M42" s="353"/>
      <c r="N42" s="353"/>
      <c r="O42" s="353"/>
      <c r="P42" s="353"/>
      <c r="Q42" s="353"/>
      <c r="R42" s="353"/>
      <c r="S42" s="353"/>
      <c r="T42" s="382"/>
      <c r="U42" s="353"/>
      <c r="V42" s="391"/>
      <c r="W42" s="391"/>
      <c r="X42" s="435"/>
      <c r="Y42" s="436"/>
      <c r="Z42" s="436"/>
      <c r="AA42" s="436"/>
      <c r="AB42" s="436"/>
      <c r="AC42" s="436"/>
      <c r="AD42" s="436"/>
      <c r="AE42" s="436"/>
      <c r="AF42" s="437"/>
      <c r="AG42" s="390"/>
      <c r="AH42" s="348"/>
    </row>
    <row r="43" spans="1:35">
      <c r="A43" s="117"/>
      <c r="B43" s="352"/>
      <c r="C43" s="353"/>
      <c r="D43" s="353"/>
      <c r="E43" s="353"/>
      <c r="F43" s="353"/>
      <c r="G43" s="353"/>
      <c r="H43" s="353"/>
      <c r="I43" s="353"/>
      <c r="J43" s="353"/>
      <c r="K43" s="353"/>
      <c r="L43" s="353"/>
      <c r="M43" s="353"/>
      <c r="N43" s="353"/>
      <c r="O43" s="353"/>
      <c r="P43" s="353"/>
      <c r="Q43" s="353"/>
      <c r="R43" s="353"/>
      <c r="S43" s="353"/>
      <c r="T43" s="382"/>
      <c r="U43" s="353"/>
      <c r="V43" s="391"/>
      <c r="W43" s="391"/>
      <c r="X43" s="435"/>
      <c r="Y43" s="436"/>
      <c r="Z43" s="436"/>
      <c r="AA43" s="436"/>
      <c r="AB43" s="436"/>
      <c r="AC43" s="436"/>
      <c r="AD43" s="436"/>
      <c r="AE43" s="436"/>
      <c r="AF43" s="437"/>
      <c r="AG43" s="390"/>
      <c r="AH43" s="348"/>
    </row>
    <row r="44" spans="1:35">
      <c r="A44" s="117"/>
      <c r="B44" s="352"/>
      <c r="C44" s="358"/>
      <c r="D44" s="359" t="s">
        <v>2039</v>
      </c>
      <c r="E44" s="359" t="s">
        <v>2040</v>
      </c>
      <c r="F44" s="359" t="s">
        <v>2041</v>
      </c>
      <c r="G44" s="360" t="s">
        <v>2032</v>
      </c>
      <c r="H44" s="385" t="s">
        <v>2054</v>
      </c>
      <c r="I44" s="372">
        <v>45660</v>
      </c>
      <c r="J44" s="372">
        <v>45667</v>
      </c>
      <c r="K44" s="372">
        <v>45674</v>
      </c>
      <c r="L44" s="372">
        <v>45678</v>
      </c>
      <c r="M44" s="371" t="s">
        <v>2036</v>
      </c>
      <c r="N44" s="353"/>
      <c r="O44" s="353"/>
      <c r="P44" s="353"/>
      <c r="Q44" s="353"/>
      <c r="R44" s="382"/>
      <c r="S44" s="382"/>
      <c r="T44" s="382"/>
      <c r="U44" s="391"/>
      <c r="V44" s="388"/>
      <c r="W44" s="388"/>
      <c r="X44" s="435"/>
      <c r="Y44" s="436"/>
      <c r="Z44" s="436"/>
      <c r="AA44" s="436"/>
      <c r="AB44" s="436"/>
      <c r="AC44" s="436"/>
      <c r="AD44" s="436"/>
      <c r="AE44" s="436"/>
      <c r="AF44" s="437"/>
      <c r="AG44" s="390"/>
      <c r="AH44" s="117"/>
    </row>
    <row r="45" spans="1:35">
      <c r="A45" s="117"/>
      <c r="B45" s="352"/>
      <c r="C45" s="359" t="s">
        <v>2034</v>
      </c>
      <c r="D45" s="361">
        <f>U72</f>
        <v>169</v>
      </c>
      <c r="E45" s="361">
        <f>U64</f>
        <v>147</v>
      </c>
      <c r="F45" s="361">
        <f>U63</f>
        <v>10</v>
      </c>
      <c r="G45" s="362">
        <f>D45-E45-F45</f>
        <v>12</v>
      </c>
      <c r="H45" s="361">
        <v>0</v>
      </c>
      <c r="I45" s="361">
        <v>0</v>
      </c>
      <c r="J45" s="361">
        <v>13</v>
      </c>
      <c r="K45" s="361">
        <v>0</v>
      </c>
      <c r="L45" s="361">
        <v>0</v>
      </c>
      <c r="M45" s="362">
        <f>SUM(I45:L45)</f>
        <v>13</v>
      </c>
      <c r="N45" s="353"/>
      <c r="O45" s="353"/>
      <c r="P45" s="353"/>
      <c r="Q45" s="353"/>
      <c r="R45" s="382"/>
      <c r="S45" s="382"/>
      <c r="T45" s="382"/>
      <c r="U45" s="391"/>
      <c r="V45" s="388"/>
      <c r="W45" s="388"/>
      <c r="X45" s="435"/>
      <c r="Y45" s="436"/>
      <c r="Z45" s="436"/>
      <c r="AA45" s="436"/>
      <c r="AB45" s="436"/>
      <c r="AC45" s="436"/>
      <c r="AD45" s="436"/>
      <c r="AE45" s="436"/>
      <c r="AF45" s="437"/>
      <c r="AG45" s="390"/>
      <c r="AH45" s="117"/>
    </row>
    <row r="46" spans="1:35">
      <c r="A46" s="117"/>
      <c r="B46" s="352"/>
      <c r="C46" s="359" t="s">
        <v>2035</v>
      </c>
      <c r="D46" s="361">
        <f>U96</f>
        <v>245</v>
      </c>
      <c r="E46" s="361">
        <f>U88</f>
        <v>205</v>
      </c>
      <c r="F46" s="361">
        <f>U87</f>
        <v>14</v>
      </c>
      <c r="G46" s="362">
        <f>D46-E46-F46</f>
        <v>26</v>
      </c>
      <c r="H46" s="361">
        <v>11</v>
      </c>
      <c r="I46" s="361">
        <v>0</v>
      </c>
      <c r="J46" s="361">
        <v>5</v>
      </c>
      <c r="K46" s="361">
        <f>4+12</f>
        <v>16</v>
      </c>
      <c r="L46" s="361" t="s">
        <v>1951</v>
      </c>
      <c r="M46" s="363">
        <f>SUM(I46:L46)</f>
        <v>21</v>
      </c>
      <c r="N46" s="353"/>
      <c r="O46" s="353"/>
      <c r="P46" s="353"/>
      <c r="Q46" s="353"/>
      <c r="R46" s="382"/>
      <c r="S46" s="382"/>
      <c r="T46" s="382"/>
      <c r="U46" s="391"/>
      <c r="V46" s="388"/>
      <c r="W46" s="388"/>
      <c r="X46" s="435"/>
      <c r="Y46" s="436"/>
      <c r="Z46" s="436"/>
      <c r="AA46" s="436"/>
      <c r="AB46" s="436"/>
      <c r="AC46" s="436"/>
      <c r="AD46" s="436"/>
      <c r="AE46" s="436"/>
      <c r="AF46" s="437"/>
      <c r="AG46" s="390"/>
      <c r="AH46" s="117"/>
    </row>
    <row r="47" spans="1:35" ht="18" thickBot="1">
      <c r="A47" s="117"/>
      <c r="B47" s="352"/>
      <c r="C47" s="359" t="s">
        <v>26</v>
      </c>
      <c r="D47" s="361">
        <f>U131</f>
        <v>135</v>
      </c>
      <c r="E47" s="361">
        <f>U123</f>
        <v>120</v>
      </c>
      <c r="F47" s="361">
        <f>U122</f>
        <v>0</v>
      </c>
      <c r="G47" s="362">
        <f>D47-E47-F47</f>
        <v>15</v>
      </c>
      <c r="H47" s="361">
        <v>15</v>
      </c>
      <c r="I47" s="361">
        <v>0</v>
      </c>
      <c r="J47" s="361">
        <v>14</v>
      </c>
      <c r="K47" s="361">
        <v>3</v>
      </c>
      <c r="L47" s="361">
        <v>0</v>
      </c>
      <c r="M47" s="362">
        <f>SUM(I47:L47)</f>
        <v>17</v>
      </c>
      <c r="N47" s="353"/>
      <c r="O47" s="353"/>
      <c r="P47" s="353"/>
      <c r="Q47" s="353"/>
      <c r="R47" s="382"/>
      <c r="S47" s="382"/>
      <c r="T47" s="382"/>
      <c r="U47" s="391"/>
      <c r="V47" s="388"/>
      <c r="W47" s="388"/>
      <c r="X47" s="435"/>
      <c r="Y47" s="436"/>
      <c r="Z47" s="436"/>
      <c r="AA47" s="436"/>
      <c r="AB47" s="436"/>
      <c r="AC47" s="436"/>
      <c r="AD47" s="436"/>
      <c r="AE47" s="436"/>
      <c r="AF47" s="437"/>
      <c r="AG47" s="390"/>
      <c r="AH47" s="117"/>
    </row>
    <row r="48" spans="1:35" ht="18" thickBot="1">
      <c r="A48" s="117"/>
      <c r="B48" s="352"/>
      <c r="C48" s="364" t="s">
        <v>2033</v>
      </c>
      <c r="D48" s="365">
        <f t="shared" ref="D48:K48" si="2">SUM(D45:D47)</f>
        <v>549</v>
      </c>
      <c r="E48" s="365">
        <f t="shared" si="2"/>
        <v>472</v>
      </c>
      <c r="F48" s="365">
        <f t="shared" si="2"/>
        <v>24</v>
      </c>
      <c r="G48" s="366">
        <f t="shared" si="2"/>
        <v>53</v>
      </c>
      <c r="H48" s="365">
        <f t="shared" si="2"/>
        <v>26</v>
      </c>
      <c r="I48" s="365">
        <f t="shared" si="2"/>
        <v>0</v>
      </c>
      <c r="J48" s="365">
        <f t="shared" si="2"/>
        <v>32</v>
      </c>
      <c r="K48" s="365">
        <f t="shared" si="2"/>
        <v>19</v>
      </c>
      <c r="L48" s="365">
        <v>0</v>
      </c>
      <c r="M48" s="366">
        <f>SUM(M45:M47)</f>
        <v>51</v>
      </c>
      <c r="N48" s="353"/>
      <c r="O48" s="353"/>
      <c r="P48" s="353"/>
      <c r="Q48" s="353"/>
      <c r="R48" s="382"/>
      <c r="S48" s="382"/>
      <c r="T48" s="382"/>
      <c r="U48" s="391"/>
      <c r="V48" s="388"/>
      <c r="W48" s="388"/>
      <c r="X48" s="435"/>
      <c r="Y48" s="436"/>
      <c r="Z48" s="436"/>
      <c r="AA48" s="436"/>
      <c r="AB48" s="436"/>
      <c r="AC48" s="436"/>
      <c r="AD48" s="436"/>
      <c r="AE48" s="436"/>
      <c r="AF48" s="437"/>
      <c r="AG48" s="390"/>
      <c r="AH48" s="117"/>
    </row>
    <row r="49" spans="1:34">
      <c r="A49" s="117"/>
      <c r="B49" s="352"/>
      <c r="C49" s="353" t="s">
        <v>13</v>
      </c>
      <c r="D49" s="353"/>
      <c r="E49" s="367">
        <f>E48/$D$48</f>
        <v>0.85974499089253187</v>
      </c>
      <c r="F49" s="367">
        <f>F48/$D$48</f>
        <v>4.3715846994535519E-2</v>
      </c>
      <c r="G49" s="367">
        <f>G48/$D$48</f>
        <v>9.6539162112932606E-2</v>
      </c>
      <c r="H49" s="353"/>
      <c r="I49" s="353"/>
      <c r="J49" s="353"/>
      <c r="K49" s="353"/>
      <c r="L49" s="353"/>
      <c r="M49" s="353"/>
      <c r="N49" s="353"/>
      <c r="O49" s="353"/>
      <c r="P49" s="353"/>
      <c r="Q49" s="353"/>
      <c r="R49" s="353"/>
      <c r="S49" s="353"/>
      <c r="T49" s="382"/>
      <c r="U49" s="353"/>
      <c r="V49" s="391"/>
      <c r="W49" s="391"/>
      <c r="X49" s="435"/>
      <c r="Y49" s="436"/>
      <c r="Z49" s="436"/>
      <c r="AA49" s="436"/>
      <c r="AB49" s="436"/>
      <c r="AC49" s="436"/>
      <c r="AD49" s="436"/>
      <c r="AE49" s="436"/>
      <c r="AF49" s="437"/>
      <c r="AG49" s="390"/>
      <c r="AH49" s="348"/>
    </row>
    <row r="50" spans="1:34">
      <c r="A50" s="117"/>
      <c r="B50" s="352"/>
      <c r="C50" s="368" t="s">
        <v>2037</v>
      </c>
      <c r="D50" s="368"/>
      <c r="E50" s="369">
        <f>E48/($D$48-F48)</f>
        <v>0.8990476190476191</v>
      </c>
      <c r="F50" s="370" t="s">
        <v>2038</v>
      </c>
      <c r="G50" s="369">
        <f>G48/($D$48-F48)</f>
        <v>0.10095238095238095</v>
      </c>
      <c r="H50" s="353"/>
      <c r="I50" s="353"/>
      <c r="J50" s="353"/>
      <c r="K50" s="353"/>
      <c r="L50" s="353"/>
      <c r="M50" s="353"/>
      <c r="N50" s="353"/>
      <c r="O50" s="353"/>
      <c r="P50" s="353"/>
      <c r="Q50" s="353"/>
      <c r="R50" s="353"/>
      <c r="S50" s="353"/>
      <c r="T50" s="382"/>
      <c r="U50" s="353"/>
      <c r="V50" s="391"/>
      <c r="W50" s="391"/>
      <c r="X50" s="435"/>
      <c r="Y50" s="436"/>
      <c r="Z50" s="436"/>
      <c r="AA50" s="436"/>
      <c r="AB50" s="436"/>
      <c r="AC50" s="436"/>
      <c r="AD50" s="436"/>
      <c r="AE50" s="436"/>
      <c r="AF50" s="437"/>
      <c r="AG50" s="390"/>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91"/>
      <c r="W51" s="391"/>
      <c r="X51" s="435"/>
      <c r="Y51" s="436"/>
      <c r="Z51" s="436"/>
      <c r="AA51" s="436"/>
      <c r="AB51" s="436"/>
      <c r="AC51" s="436"/>
      <c r="AD51" s="436"/>
      <c r="AE51" s="436"/>
      <c r="AF51" s="437"/>
      <c r="AG51" s="390"/>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38"/>
      <c r="Y52" s="439"/>
      <c r="Z52" s="439"/>
      <c r="AA52" s="439"/>
      <c r="AB52" s="439"/>
      <c r="AC52" s="439"/>
      <c r="AD52" s="439"/>
      <c r="AE52" s="439"/>
      <c r="AF52" s="440"/>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8"/>
      <c r="Y53" s="388"/>
      <c r="Z53" s="388"/>
      <c r="AA53" s="388"/>
      <c r="AB53" s="388"/>
      <c r="AC53" s="388"/>
      <c r="AD53" s="388"/>
      <c r="AE53" s="388"/>
      <c r="AF53" s="388"/>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2028</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2" t="s">
        <v>2070</v>
      </c>
      <c r="Y63" s="413"/>
      <c r="Z63" s="413"/>
      <c r="AA63" s="413"/>
      <c r="AB63" s="413"/>
      <c r="AC63" s="413"/>
      <c r="AD63" s="413"/>
      <c r="AE63" s="413"/>
      <c r="AF63" s="414"/>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147</v>
      </c>
      <c r="V64" s="26">
        <f t="shared" ref="V64:V71" si="3">U64-T64</f>
        <v>1</v>
      </c>
      <c r="X64" s="415"/>
      <c r="Y64" s="416"/>
      <c r="Z64" s="416"/>
      <c r="AA64" s="416"/>
      <c r="AB64" s="416"/>
      <c r="AC64" s="416"/>
      <c r="AD64" s="416"/>
      <c r="AE64" s="416"/>
      <c r="AF64" s="417"/>
      <c r="AG64" s="164"/>
      <c r="AH64" s="117"/>
    </row>
    <row r="65" spans="1:34">
      <c r="A65" s="117"/>
      <c r="B65" s="122"/>
      <c r="P65" s="26" t="s">
        <v>1921</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1</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3"/>
        <v>-1</v>
      </c>
      <c r="X65" s="415"/>
      <c r="Y65" s="416"/>
      <c r="Z65" s="416"/>
      <c r="AA65" s="416"/>
      <c r="AB65" s="416"/>
      <c r="AC65" s="416"/>
      <c r="AD65" s="416"/>
      <c r="AE65" s="416"/>
      <c r="AF65" s="417"/>
      <c r="AG65" s="164"/>
      <c r="AH65" s="117"/>
    </row>
    <row r="66" spans="1:34">
      <c r="A66" s="117"/>
      <c r="B66" s="122"/>
      <c r="D66" s="393" t="str">
        <f>"# "&amp;U72</f>
        <v># 169</v>
      </c>
      <c r="E66" s="393"/>
      <c r="P66" s="26" t="s">
        <v>1922</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15"/>
      <c r="Y66" s="416"/>
      <c r="Z66" s="416"/>
      <c r="AA66" s="416"/>
      <c r="AB66" s="416"/>
      <c r="AC66" s="416"/>
      <c r="AD66" s="416"/>
      <c r="AE66" s="416"/>
      <c r="AF66" s="417"/>
      <c r="AG66" s="164"/>
      <c r="AH66" s="117"/>
    </row>
    <row r="67" spans="1:34" ht="17.7" customHeight="1">
      <c r="A67" s="117"/>
      <c r="B67" s="122"/>
      <c r="D67" s="393"/>
      <c r="E67" s="393"/>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15"/>
      <c r="Y67" s="416"/>
      <c r="Z67" s="416"/>
      <c r="AA67" s="416"/>
      <c r="AB67" s="416"/>
      <c r="AC67" s="416"/>
      <c r="AD67" s="416"/>
      <c r="AE67" s="416"/>
      <c r="AF67" s="417"/>
      <c r="AG67" s="164"/>
      <c r="AH67" s="117"/>
    </row>
    <row r="68" spans="1:34" ht="17.7" customHeight="1">
      <c r="A68" s="117"/>
      <c r="B68" s="122"/>
      <c r="D68" s="393"/>
      <c r="E68" s="393"/>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12</v>
      </c>
      <c r="V68" s="26">
        <f t="shared" si="3"/>
        <v>12</v>
      </c>
      <c r="X68" s="415"/>
      <c r="Y68" s="416"/>
      <c r="Z68" s="416"/>
      <c r="AA68" s="416"/>
      <c r="AB68" s="416"/>
      <c r="AC68" s="416"/>
      <c r="AD68" s="416"/>
      <c r="AE68" s="416"/>
      <c r="AF68" s="417"/>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15"/>
      <c r="Y69" s="416"/>
      <c r="Z69" s="416"/>
      <c r="AA69" s="416"/>
      <c r="AB69" s="416"/>
      <c r="AC69" s="416"/>
      <c r="AD69" s="416"/>
      <c r="AE69" s="416"/>
      <c r="AF69" s="417"/>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12</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0</v>
      </c>
      <c r="V70" s="26">
        <f t="shared" si="3"/>
        <v>-12</v>
      </c>
      <c r="X70" s="415"/>
      <c r="Y70" s="416"/>
      <c r="Z70" s="416"/>
      <c r="AA70" s="416"/>
      <c r="AB70" s="416"/>
      <c r="AC70" s="416"/>
      <c r="AD70" s="416"/>
      <c r="AE70" s="416"/>
      <c r="AF70" s="417"/>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15"/>
      <c r="Y71" s="416"/>
      <c r="Z71" s="416"/>
      <c r="AA71" s="416"/>
      <c r="AB71" s="416"/>
      <c r="AC71" s="416"/>
      <c r="AD71" s="416"/>
      <c r="AE71" s="416"/>
      <c r="AF71" s="417"/>
      <c r="AG71" s="164"/>
      <c r="AH71" s="117"/>
    </row>
    <row r="72" spans="1:34">
      <c r="A72" s="117"/>
      <c r="B72" s="122"/>
      <c r="T72" s="128">
        <f>SUM(T63:T71)</f>
        <v>169</v>
      </c>
      <c r="U72" s="128">
        <f>SUM(U63:U71)</f>
        <v>169</v>
      </c>
      <c r="X72" s="415"/>
      <c r="Y72" s="416"/>
      <c r="Z72" s="416"/>
      <c r="AA72" s="416"/>
      <c r="AB72" s="416"/>
      <c r="AC72" s="416"/>
      <c r="AD72" s="416"/>
      <c r="AE72" s="416"/>
      <c r="AF72" s="417"/>
      <c r="AG72" s="164"/>
      <c r="AH72" s="117"/>
    </row>
    <row r="73" spans="1:34">
      <c r="A73" s="117"/>
      <c r="B73" s="122"/>
      <c r="G73" s="130" t="s">
        <v>619</v>
      </c>
      <c r="H73" s="131"/>
      <c r="I73" s="131"/>
      <c r="J73" s="131"/>
      <c r="K73" s="131"/>
      <c r="L73" s="131"/>
      <c r="M73" s="131"/>
      <c r="P73" s="130" t="s">
        <v>620</v>
      </c>
      <c r="Q73" s="131"/>
      <c r="R73" s="131"/>
      <c r="S73" s="131"/>
      <c r="T73" s="131"/>
      <c r="U73" s="131"/>
      <c r="V73" s="131"/>
      <c r="X73" s="415"/>
      <c r="Y73" s="416"/>
      <c r="Z73" s="416"/>
      <c r="AA73" s="416"/>
      <c r="AB73" s="416"/>
      <c r="AC73" s="416"/>
      <c r="AD73" s="416"/>
      <c r="AE73" s="416"/>
      <c r="AF73" s="417"/>
      <c r="AG73" s="164"/>
      <c r="AH73" s="117"/>
    </row>
    <row r="74" spans="1:34">
      <c r="A74" s="117"/>
      <c r="B74" s="122"/>
      <c r="F74" s="160" t="s">
        <v>621</v>
      </c>
      <c r="G74" s="26" t="s">
        <v>622</v>
      </c>
      <c r="L74" s="162" t="s">
        <v>623</v>
      </c>
      <c r="O74" s="160" t="s">
        <v>621</v>
      </c>
      <c r="P74" s="26" t="s">
        <v>624</v>
      </c>
      <c r="T74" s="162" t="s">
        <v>623</v>
      </c>
      <c r="X74" s="415"/>
      <c r="Y74" s="416"/>
      <c r="Z74" s="416"/>
      <c r="AA74" s="416"/>
      <c r="AB74" s="416"/>
      <c r="AC74" s="416"/>
      <c r="AD74" s="416"/>
      <c r="AE74" s="416"/>
      <c r="AF74" s="417"/>
      <c r="AG74" s="164"/>
      <c r="AH74" s="117"/>
    </row>
    <row r="75" spans="1:34">
      <c r="A75" s="117"/>
      <c r="B75" s="122"/>
      <c r="F75" s="160" t="s">
        <v>621</v>
      </c>
      <c r="G75" s="26" t="s">
        <v>625</v>
      </c>
      <c r="L75" s="162" t="s">
        <v>623</v>
      </c>
      <c r="O75" s="160" t="s">
        <v>621</v>
      </c>
      <c r="P75" s="26" t="s">
        <v>626</v>
      </c>
      <c r="T75" s="162" t="s">
        <v>623</v>
      </c>
      <c r="X75" s="415"/>
      <c r="Y75" s="416"/>
      <c r="Z75" s="416"/>
      <c r="AA75" s="416"/>
      <c r="AB75" s="416"/>
      <c r="AC75" s="416"/>
      <c r="AD75" s="416"/>
      <c r="AE75" s="416"/>
      <c r="AF75" s="417"/>
      <c r="AG75" s="164"/>
      <c r="AH75" s="117"/>
    </row>
    <row r="76" spans="1:34">
      <c r="A76" s="117"/>
      <c r="B76" s="122"/>
      <c r="F76" s="160" t="s">
        <v>621</v>
      </c>
      <c r="G76" s="26" t="s">
        <v>627</v>
      </c>
      <c r="L76" s="162" t="s">
        <v>623</v>
      </c>
      <c r="O76" s="160" t="s">
        <v>621</v>
      </c>
      <c r="P76" s="26" t="s">
        <v>628</v>
      </c>
      <c r="T76" s="165" t="s">
        <v>629</v>
      </c>
      <c r="X76" s="415"/>
      <c r="Y76" s="416"/>
      <c r="Z76" s="416"/>
      <c r="AA76" s="416"/>
      <c r="AB76" s="416"/>
      <c r="AC76" s="416"/>
      <c r="AD76" s="416"/>
      <c r="AE76" s="416"/>
      <c r="AF76" s="417"/>
      <c r="AG76" s="164"/>
      <c r="AH76" s="117"/>
    </row>
    <row r="77" spans="1:34">
      <c r="A77" s="117"/>
      <c r="B77" s="122"/>
      <c r="F77" s="160" t="s">
        <v>621</v>
      </c>
      <c r="G77" s="26" t="s">
        <v>630</v>
      </c>
      <c r="L77" s="162" t="s">
        <v>623</v>
      </c>
      <c r="O77" s="160"/>
      <c r="T77" s="165"/>
      <c r="X77" s="415"/>
      <c r="Y77" s="416"/>
      <c r="Z77" s="416"/>
      <c r="AA77" s="416"/>
      <c r="AB77" s="416"/>
      <c r="AC77" s="416"/>
      <c r="AD77" s="416"/>
      <c r="AE77" s="416"/>
      <c r="AF77" s="417"/>
      <c r="AG77" s="164"/>
      <c r="AH77" s="117"/>
    </row>
    <row r="78" spans="1:34">
      <c r="A78" s="117"/>
      <c r="B78" s="122"/>
      <c r="F78" s="160" t="s">
        <v>621</v>
      </c>
      <c r="G78" s="26" t="s">
        <v>631</v>
      </c>
      <c r="L78" s="254" t="s">
        <v>2003</v>
      </c>
      <c r="O78" s="160"/>
      <c r="T78" s="165"/>
      <c r="X78" s="415"/>
      <c r="Y78" s="416"/>
      <c r="Z78" s="416"/>
      <c r="AA78" s="416"/>
      <c r="AB78" s="416"/>
      <c r="AC78" s="416"/>
      <c r="AD78" s="416"/>
      <c r="AE78" s="416"/>
      <c r="AF78" s="417"/>
      <c r="AG78" s="164"/>
      <c r="AH78" s="117"/>
    </row>
    <row r="79" spans="1:34">
      <c r="A79" s="117"/>
      <c r="B79" s="122"/>
      <c r="F79" s="160" t="s">
        <v>621</v>
      </c>
      <c r="G79" s="26" t="s">
        <v>632</v>
      </c>
      <c r="L79" s="162" t="s">
        <v>623</v>
      </c>
      <c r="O79" s="160"/>
      <c r="T79" s="162"/>
      <c r="X79" s="415"/>
      <c r="Y79" s="416"/>
      <c r="Z79" s="416"/>
      <c r="AA79" s="416"/>
      <c r="AB79" s="416"/>
      <c r="AC79" s="416"/>
      <c r="AD79" s="416"/>
      <c r="AE79" s="416"/>
      <c r="AF79" s="417"/>
      <c r="AG79" s="164"/>
      <c r="AH79" s="117"/>
    </row>
    <row r="80" spans="1:34">
      <c r="A80" s="117"/>
      <c r="B80" s="122"/>
      <c r="O80" s="160"/>
      <c r="X80" s="418"/>
      <c r="Y80" s="419"/>
      <c r="Z80" s="419"/>
      <c r="AA80" s="419"/>
      <c r="AB80" s="419"/>
      <c r="AC80" s="419"/>
      <c r="AD80" s="419"/>
      <c r="AE80" s="419"/>
      <c r="AF80" s="420"/>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2026</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3" t="s">
        <v>2073</v>
      </c>
      <c r="Y87" s="404"/>
      <c r="Z87" s="404"/>
      <c r="AA87" s="404"/>
      <c r="AB87" s="404"/>
      <c r="AC87" s="404"/>
      <c r="AD87" s="404"/>
      <c r="AE87" s="404"/>
      <c r="AF87" s="405"/>
      <c r="AG87" s="158" t="s">
        <v>633</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209</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205</v>
      </c>
      <c r="V88" s="26">
        <f t="shared" ref="V88:V95" si="5">U88-T88</f>
        <v>-4</v>
      </c>
      <c r="W88" s="157"/>
      <c r="X88" s="406"/>
      <c r="Y88" s="407"/>
      <c r="Z88" s="407"/>
      <c r="AA88" s="407"/>
      <c r="AB88" s="407"/>
      <c r="AC88" s="407"/>
      <c r="AD88" s="407"/>
      <c r="AE88" s="407"/>
      <c r="AF88" s="408"/>
      <c r="AG88" s="158"/>
      <c r="AH88" s="117"/>
    </row>
    <row r="89" spans="1:34">
      <c r="A89" s="117"/>
      <c r="B89" s="122"/>
      <c r="P89" s="26" t="s">
        <v>1921</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16</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13</v>
      </c>
      <c r="V89" s="26">
        <f t="shared" si="5"/>
        <v>-3</v>
      </c>
      <c r="W89" s="157"/>
      <c r="X89" s="406"/>
      <c r="Y89" s="407"/>
      <c r="Z89" s="407"/>
      <c r="AA89" s="407"/>
      <c r="AB89" s="407"/>
      <c r="AC89" s="407"/>
      <c r="AD89" s="407"/>
      <c r="AE89" s="407"/>
      <c r="AF89" s="408"/>
      <c r="AG89" s="158"/>
      <c r="AH89" s="117"/>
    </row>
    <row r="90" spans="1:34">
      <c r="A90" s="117"/>
      <c r="B90" s="122"/>
      <c r="D90" s="393" t="str">
        <f>"# "&amp;U96</f>
        <v># 245</v>
      </c>
      <c r="E90" s="393"/>
      <c r="P90" s="26" t="s">
        <v>1922</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12</v>
      </c>
      <c r="V90" s="26">
        <f t="shared" ref="V90" si="6">U90-T90</f>
        <v>12</v>
      </c>
      <c r="W90" s="157"/>
      <c r="X90" s="406"/>
      <c r="Y90" s="407"/>
      <c r="Z90" s="407"/>
      <c r="AA90" s="407"/>
      <c r="AB90" s="407"/>
      <c r="AC90" s="407"/>
      <c r="AD90" s="407"/>
      <c r="AE90" s="407"/>
      <c r="AF90" s="408"/>
      <c r="AG90" s="158"/>
      <c r="AH90" s="117"/>
    </row>
    <row r="91" spans="1:34" ht="17.7" customHeight="1">
      <c r="A91" s="117"/>
      <c r="B91" s="122"/>
      <c r="D91" s="393"/>
      <c r="E91" s="393"/>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406"/>
      <c r="Y91" s="407"/>
      <c r="Z91" s="407"/>
      <c r="AA91" s="407"/>
      <c r="AB91" s="407"/>
      <c r="AC91" s="407"/>
      <c r="AD91" s="407"/>
      <c r="AE91" s="407"/>
      <c r="AF91" s="408"/>
      <c r="AG91" s="158"/>
      <c r="AH91" s="117"/>
    </row>
    <row r="92" spans="1:34" ht="17.7" customHeight="1">
      <c r="A92" s="117"/>
      <c r="B92" s="122"/>
      <c r="D92" s="393"/>
      <c r="E92" s="393"/>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406"/>
      <c r="Y92" s="407"/>
      <c r="Z92" s="407"/>
      <c r="AA92" s="407"/>
      <c r="AB92" s="407"/>
      <c r="AC92" s="407"/>
      <c r="AD92" s="407"/>
      <c r="AE92" s="407"/>
      <c r="AF92" s="408"/>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0</v>
      </c>
      <c r="W93" s="157"/>
      <c r="X93" s="406"/>
      <c r="Y93" s="407"/>
      <c r="Z93" s="407"/>
      <c r="AA93" s="407"/>
      <c r="AB93" s="407"/>
      <c r="AC93" s="407"/>
      <c r="AD93" s="407"/>
      <c r="AE93" s="407"/>
      <c r="AF93" s="408"/>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5</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5"/>
        <v>-5</v>
      </c>
      <c r="X94" s="406"/>
      <c r="Y94" s="407"/>
      <c r="Z94" s="407"/>
      <c r="AA94" s="407"/>
      <c r="AB94" s="407"/>
      <c r="AC94" s="407"/>
      <c r="AD94" s="407"/>
      <c r="AE94" s="407"/>
      <c r="AF94" s="408"/>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406"/>
      <c r="Y95" s="407"/>
      <c r="Z95" s="407"/>
      <c r="AA95" s="407"/>
      <c r="AB95" s="407"/>
      <c r="AC95" s="407"/>
      <c r="AD95" s="407"/>
      <c r="AE95" s="407"/>
      <c r="AF95" s="408"/>
      <c r="AG95" s="158"/>
      <c r="AH95" s="117"/>
    </row>
    <row r="96" spans="1:34">
      <c r="A96" s="117"/>
      <c r="B96" s="122"/>
      <c r="T96" s="128">
        <f>SUM(T87:T95)</f>
        <v>245</v>
      </c>
      <c r="U96" s="128">
        <f>SUM(U87:U95)</f>
        <v>245</v>
      </c>
      <c r="X96" s="406"/>
      <c r="Y96" s="407"/>
      <c r="Z96" s="407"/>
      <c r="AA96" s="407"/>
      <c r="AB96" s="407"/>
      <c r="AC96" s="407"/>
      <c r="AD96" s="407"/>
      <c r="AE96" s="407"/>
      <c r="AF96" s="408"/>
      <c r="AG96" s="158"/>
      <c r="AH96" s="117"/>
    </row>
    <row r="97" spans="1:34">
      <c r="A97" s="117"/>
      <c r="B97" s="122"/>
      <c r="X97" s="406"/>
      <c r="Y97" s="407"/>
      <c r="Z97" s="407"/>
      <c r="AA97" s="407"/>
      <c r="AB97" s="407"/>
      <c r="AC97" s="407"/>
      <c r="AD97" s="407"/>
      <c r="AE97" s="407"/>
      <c r="AF97" s="408"/>
      <c r="AG97" s="158"/>
      <c r="AH97" s="117"/>
    </row>
    <row r="98" spans="1:34">
      <c r="A98" s="117"/>
      <c r="B98" s="122"/>
      <c r="P98" s="130" t="s">
        <v>634</v>
      </c>
      <c r="Q98" s="131"/>
      <c r="R98" s="131"/>
      <c r="S98" s="131"/>
      <c r="T98" s="131"/>
      <c r="U98" s="131"/>
      <c r="V98" s="131"/>
      <c r="X98" s="406"/>
      <c r="Y98" s="407"/>
      <c r="Z98" s="407"/>
      <c r="AA98" s="407"/>
      <c r="AB98" s="407"/>
      <c r="AC98" s="407"/>
      <c r="AD98" s="407"/>
      <c r="AE98" s="407"/>
      <c r="AF98" s="408"/>
      <c r="AG98" s="158"/>
      <c r="AH98" s="117"/>
    </row>
    <row r="99" spans="1:34">
      <c r="A99" s="117"/>
      <c r="B99" s="122"/>
      <c r="O99" s="160" t="s">
        <v>621</v>
      </c>
      <c r="P99" s="26" t="s">
        <v>217</v>
      </c>
      <c r="T99" s="162" t="s">
        <v>623</v>
      </c>
      <c r="X99" s="406"/>
      <c r="Y99" s="407"/>
      <c r="Z99" s="407"/>
      <c r="AA99" s="407"/>
      <c r="AB99" s="407"/>
      <c r="AC99" s="407"/>
      <c r="AD99" s="407"/>
      <c r="AE99" s="407"/>
      <c r="AF99" s="408"/>
      <c r="AG99" s="158"/>
      <c r="AH99" s="117"/>
    </row>
    <row r="100" spans="1:34">
      <c r="A100" s="117"/>
      <c r="B100" s="122"/>
      <c r="O100" s="160" t="s">
        <v>621</v>
      </c>
      <c r="P100" s="26" t="s">
        <v>216</v>
      </c>
      <c r="T100" s="162" t="s">
        <v>623</v>
      </c>
      <c r="X100" s="406"/>
      <c r="Y100" s="407"/>
      <c r="Z100" s="407"/>
      <c r="AA100" s="407"/>
      <c r="AB100" s="407"/>
      <c r="AC100" s="407"/>
      <c r="AD100" s="407"/>
      <c r="AE100" s="407"/>
      <c r="AF100" s="408"/>
      <c r="AG100" s="158"/>
      <c r="AH100" s="117"/>
    </row>
    <row r="101" spans="1:34">
      <c r="A101" s="117"/>
      <c r="B101" s="122"/>
      <c r="O101" s="160" t="s">
        <v>621</v>
      </c>
      <c r="P101" s="26" t="s">
        <v>214</v>
      </c>
      <c r="T101" s="162" t="s">
        <v>623</v>
      </c>
      <c r="X101" s="406"/>
      <c r="Y101" s="407"/>
      <c r="Z101" s="407"/>
      <c r="AA101" s="407"/>
      <c r="AB101" s="407"/>
      <c r="AC101" s="407"/>
      <c r="AD101" s="407"/>
      <c r="AE101" s="407"/>
      <c r="AF101" s="408"/>
      <c r="AG101" s="158"/>
      <c r="AH101" s="117"/>
    </row>
    <row r="102" spans="1:34">
      <c r="A102" s="117"/>
      <c r="B102" s="122"/>
      <c r="O102" s="160" t="s">
        <v>621</v>
      </c>
      <c r="P102" s="26" t="s">
        <v>213</v>
      </c>
      <c r="T102" s="162" t="s">
        <v>623</v>
      </c>
      <c r="X102" s="406"/>
      <c r="Y102" s="407"/>
      <c r="Z102" s="407"/>
      <c r="AA102" s="407"/>
      <c r="AB102" s="407"/>
      <c r="AC102" s="407"/>
      <c r="AD102" s="407"/>
      <c r="AE102" s="407"/>
      <c r="AF102" s="408"/>
      <c r="AG102" s="158"/>
      <c r="AH102" s="117"/>
    </row>
    <row r="103" spans="1:34">
      <c r="A103" s="117"/>
      <c r="B103" s="122"/>
      <c r="O103" s="160" t="s">
        <v>621</v>
      </c>
      <c r="P103" s="26" t="s">
        <v>218</v>
      </c>
      <c r="T103" s="162" t="s">
        <v>623</v>
      </c>
      <c r="X103" s="406"/>
      <c r="Y103" s="407"/>
      <c r="Z103" s="407"/>
      <c r="AA103" s="407"/>
      <c r="AB103" s="407"/>
      <c r="AC103" s="407"/>
      <c r="AD103" s="407"/>
      <c r="AE103" s="407"/>
      <c r="AF103" s="408"/>
      <c r="AG103" s="158"/>
      <c r="AH103" s="117"/>
    </row>
    <row r="104" spans="1:34">
      <c r="A104" s="117"/>
      <c r="B104" s="122"/>
      <c r="O104" s="160" t="s">
        <v>621</v>
      </c>
      <c r="P104" s="26" t="s">
        <v>219</v>
      </c>
      <c r="T104" s="162" t="s">
        <v>623</v>
      </c>
      <c r="X104" s="406"/>
      <c r="Y104" s="407"/>
      <c r="Z104" s="407"/>
      <c r="AA104" s="407"/>
      <c r="AB104" s="407"/>
      <c r="AC104" s="407"/>
      <c r="AD104" s="407"/>
      <c r="AE104" s="407"/>
      <c r="AF104" s="408"/>
      <c r="AG104" s="158"/>
      <c r="AH104" s="117"/>
    </row>
    <row r="105" spans="1:34">
      <c r="A105" s="117"/>
      <c r="B105" s="122"/>
      <c r="O105" s="160" t="s">
        <v>621</v>
      </c>
      <c r="P105" s="26" t="s">
        <v>220</v>
      </c>
      <c r="T105" s="162" t="s">
        <v>623</v>
      </c>
      <c r="X105" s="406"/>
      <c r="Y105" s="407"/>
      <c r="Z105" s="407"/>
      <c r="AA105" s="407"/>
      <c r="AB105" s="407"/>
      <c r="AC105" s="407"/>
      <c r="AD105" s="407"/>
      <c r="AE105" s="407"/>
      <c r="AF105" s="408"/>
      <c r="AG105" s="158"/>
      <c r="AH105" s="117"/>
    </row>
    <row r="106" spans="1:34">
      <c r="A106" s="117"/>
      <c r="B106" s="122"/>
      <c r="O106" s="160" t="s">
        <v>621</v>
      </c>
      <c r="P106" s="26" t="s">
        <v>215</v>
      </c>
      <c r="T106" s="162" t="s">
        <v>623</v>
      </c>
      <c r="X106" s="406"/>
      <c r="Y106" s="407"/>
      <c r="Z106" s="407"/>
      <c r="AA106" s="407"/>
      <c r="AB106" s="407"/>
      <c r="AC106" s="407"/>
      <c r="AD106" s="407"/>
      <c r="AE106" s="407"/>
      <c r="AF106" s="408"/>
      <c r="AG106" s="158"/>
      <c r="AH106" s="117"/>
    </row>
    <row r="107" spans="1:34">
      <c r="A107" s="117"/>
      <c r="B107" s="122"/>
      <c r="O107" s="160" t="s">
        <v>621</v>
      </c>
      <c r="P107" s="26" t="s">
        <v>182</v>
      </c>
      <c r="T107" s="254" t="s">
        <v>2003</v>
      </c>
      <c r="X107" s="406"/>
      <c r="Y107" s="407"/>
      <c r="Z107" s="407"/>
      <c r="AA107" s="407"/>
      <c r="AB107" s="407"/>
      <c r="AC107" s="407"/>
      <c r="AD107" s="407"/>
      <c r="AE107" s="407"/>
      <c r="AF107" s="408"/>
      <c r="AG107" s="158"/>
      <c r="AH107" s="117"/>
    </row>
    <row r="108" spans="1:34">
      <c r="A108" s="117"/>
      <c r="B108" s="122"/>
      <c r="O108" s="160" t="s">
        <v>621</v>
      </c>
      <c r="P108" s="177" t="s">
        <v>635</v>
      </c>
      <c r="T108" s="166" t="s">
        <v>636</v>
      </c>
      <c r="X108" s="406"/>
      <c r="Y108" s="407"/>
      <c r="Z108" s="407"/>
      <c r="AA108" s="407"/>
      <c r="AB108" s="407"/>
      <c r="AC108" s="407"/>
      <c r="AD108" s="407"/>
      <c r="AE108" s="407"/>
      <c r="AF108" s="408"/>
      <c r="AG108" s="158"/>
      <c r="AH108" s="117"/>
    </row>
    <row r="109" spans="1:34">
      <c r="A109" s="117"/>
      <c r="B109" s="122"/>
      <c r="P109" s="159"/>
      <c r="X109" s="406"/>
      <c r="Y109" s="407"/>
      <c r="Z109" s="407"/>
      <c r="AA109" s="407"/>
      <c r="AB109" s="407"/>
      <c r="AC109" s="407"/>
      <c r="AD109" s="407"/>
      <c r="AE109" s="407"/>
      <c r="AF109" s="408"/>
      <c r="AG109" s="158"/>
      <c r="AH109" s="117"/>
    </row>
    <row r="110" spans="1:34">
      <c r="A110" s="117"/>
      <c r="B110" s="122"/>
      <c r="P110" s="130" t="s">
        <v>637</v>
      </c>
      <c r="Q110" s="131"/>
      <c r="R110" s="131"/>
      <c r="S110" s="131"/>
      <c r="T110" s="131"/>
      <c r="U110" s="131"/>
      <c r="V110" s="131"/>
      <c r="X110" s="406"/>
      <c r="Y110" s="407"/>
      <c r="Z110" s="407"/>
      <c r="AA110" s="407"/>
      <c r="AB110" s="407"/>
      <c r="AC110" s="407"/>
      <c r="AD110" s="407"/>
      <c r="AE110" s="407"/>
      <c r="AF110" s="408"/>
      <c r="AG110" s="158"/>
      <c r="AH110" s="117"/>
    </row>
    <row r="111" spans="1:34">
      <c r="A111" s="117"/>
      <c r="B111" s="122"/>
      <c r="O111" s="160" t="s">
        <v>621</v>
      </c>
      <c r="P111" s="26" t="s">
        <v>638</v>
      </c>
      <c r="T111" s="162" t="s">
        <v>623</v>
      </c>
      <c r="X111" s="406"/>
      <c r="Y111" s="407"/>
      <c r="Z111" s="407"/>
      <c r="AA111" s="407"/>
      <c r="AB111" s="407"/>
      <c r="AC111" s="407"/>
      <c r="AD111" s="407"/>
      <c r="AE111" s="407"/>
      <c r="AF111" s="408"/>
      <c r="AG111" s="158"/>
      <c r="AH111" s="117"/>
    </row>
    <row r="112" spans="1:34">
      <c r="A112" s="117"/>
      <c r="B112" s="122"/>
      <c r="O112" s="160" t="s">
        <v>621</v>
      </c>
      <c r="P112" s="26" t="s">
        <v>312</v>
      </c>
      <c r="T112" s="162" t="s">
        <v>639</v>
      </c>
      <c r="X112" s="406"/>
      <c r="Y112" s="407"/>
      <c r="Z112" s="407"/>
      <c r="AA112" s="407"/>
      <c r="AB112" s="407"/>
      <c r="AC112" s="407"/>
      <c r="AD112" s="407"/>
      <c r="AE112" s="407"/>
      <c r="AF112" s="408"/>
      <c r="AG112" s="158"/>
      <c r="AH112" s="117"/>
    </row>
    <row r="113" spans="1:34">
      <c r="A113" s="117"/>
      <c r="B113" s="122"/>
      <c r="O113" s="160" t="s">
        <v>621</v>
      </c>
      <c r="P113" s="26" t="s">
        <v>326</v>
      </c>
      <c r="T113" s="162" t="s">
        <v>623</v>
      </c>
      <c r="X113" s="406"/>
      <c r="Y113" s="407"/>
      <c r="Z113" s="407"/>
      <c r="AA113" s="407"/>
      <c r="AB113" s="407"/>
      <c r="AC113" s="407"/>
      <c r="AD113" s="407"/>
      <c r="AE113" s="407"/>
      <c r="AF113" s="408"/>
      <c r="AG113" s="158"/>
      <c r="AH113" s="117"/>
    </row>
    <row r="114" spans="1:34">
      <c r="A114" s="117"/>
      <c r="B114" s="122"/>
      <c r="O114" s="160" t="s">
        <v>621</v>
      </c>
      <c r="P114" s="26" t="s">
        <v>334</v>
      </c>
      <c r="T114" s="441" t="s">
        <v>2072</v>
      </c>
      <c r="X114" s="406"/>
      <c r="Y114" s="407"/>
      <c r="Z114" s="407"/>
      <c r="AA114" s="407"/>
      <c r="AB114" s="407"/>
      <c r="AC114" s="407"/>
      <c r="AD114" s="407"/>
      <c r="AE114" s="407"/>
      <c r="AF114" s="408"/>
      <c r="AG114" s="158"/>
      <c r="AH114" s="117"/>
    </row>
    <row r="115" spans="1:34">
      <c r="A115" s="117"/>
      <c r="B115" s="122"/>
      <c r="O115" s="160"/>
      <c r="T115" s="161"/>
      <c r="X115" s="409"/>
      <c r="Y115" s="410"/>
      <c r="Z115" s="410"/>
      <c r="AA115" s="410"/>
      <c r="AB115" s="410"/>
      <c r="AC115" s="410"/>
      <c r="AD115" s="410"/>
      <c r="AE115" s="410"/>
      <c r="AF115" s="411"/>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2027</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21" t="s">
        <v>2071</v>
      </c>
      <c r="Y122" s="422"/>
      <c r="Z122" s="422"/>
      <c r="AA122" s="422"/>
      <c r="AB122" s="422"/>
      <c r="AC122" s="422"/>
      <c r="AD122" s="422"/>
      <c r="AE122" s="422"/>
      <c r="AF122" s="422"/>
      <c r="AG122" s="163"/>
      <c r="AH122" s="117"/>
    </row>
    <row r="123" spans="1:34">
      <c r="A123" s="117"/>
      <c r="B123" s="122"/>
      <c r="P123" s="26" t="s">
        <v>613</v>
      </c>
      <c r="T123" s="26">
        <f>COUNTIFS(Table4[Status Anterior],'1. Status Resumo'!$P123,Table4[Sub-âmbito],'1. Status Resumo'!$G$118,Table4[Tipo de teste],"2. Campo")</f>
        <v>118</v>
      </c>
      <c r="U123" s="26">
        <f>COUNTIFS(Table4[Status Atual],'1. Status Resumo'!$P123,Table4[Sub-âmbito],'1. Status Resumo'!$G$118,Table4[Tipo de teste],"2. Campo")</f>
        <v>120</v>
      </c>
      <c r="V123" s="26">
        <f t="shared" ref="V123:V130" si="7">U123-T123</f>
        <v>2</v>
      </c>
      <c r="X123" s="422"/>
      <c r="Y123" s="422"/>
      <c r="Z123" s="422"/>
      <c r="AA123" s="422"/>
      <c r="AB123" s="422"/>
      <c r="AC123" s="422"/>
      <c r="AD123" s="422"/>
      <c r="AE123" s="422"/>
      <c r="AF123" s="422"/>
      <c r="AG123" s="163"/>
      <c r="AH123" s="117"/>
    </row>
    <row r="124" spans="1:34">
      <c r="A124" s="117"/>
      <c r="B124" s="122"/>
      <c r="P124" s="26" t="s">
        <v>1921</v>
      </c>
      <c r="T124" s="26">
        <f>COUNTIFS(Table4[Status Anterior],'1. Status Resumo'!$P124,Table4[Sub-âmbito],'1. Status Resumo'!$G$118,Table4[Tipo de teste],"2. Campo")</f>
        <v>9</v>
      </c>
      <c r="U124" s="26">
        <f>COUNTIFS(Table4[Status Atual],'1. Status Resumo'!$P124,Table4[Sub-âmbito],'1. Status Resumo'!$G$118,Table4[Tipo de teste],"2. Campo")</f>
        <v>12</v>
      </c>
      <c r="V124" s="26">
        <f t="shared" si="7"/>
        <v>3</v>
      </c>
      <c r="X124" s="422"/>
      <c r="Y124" s="422"/>
      <c r="Z124" s="422"/>
      <c r="AA124" s="422"/>
      <c r="AB124" s="422"/>
      <c r="AC124" s="422"/>
      <c r="AD124" s="422"/>
      <c r="AE124" s="422"/>
      <c r="AF124" s="422"/>
      <c r="AG124" s="163"/>
      <c r="AH124" s="117"/>
    </row>
    <row r="125" spans="1:34" ht="17.7" customHeight="1">
      <c r="A125" s="117"/>
      <c r="B125" s="122"/>
      <c r="D125" s="393" t="str">
        <f>"# "&amp;U131</f>
        <v># 135</v>
      </c>
      <c r="E125" s="393"/>
      <c r="P125" s="26" t="s">
        <v>1922</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22"/>
      <c r="Y125" s="422"/>
      <c r="Z125" s="422"/>
      <c r="AA125" s="422"/>
      <c r="AB125" s="422"/>
      <c r="AC125" s="422"/>
      <c r="AD125" s="422"/>
      <c r="AE125" s="422"/>
      <c r="AF125" s="422"/>
      <c r="AG125" s="163"/>
      <c r="AH125" s="117"/>
    </row>
    <row r="126" spans="1:34" ht="17.7" customHeight="1">
      <c r="A126" s="117"/>
      <c r="B126" s="122"/>
      <c r="D126" s="393"/>
      <c r="E126" s="393"/>
      <c r="P126" s="26" t="s">
        <v>614</v>
      </c>
      <c r="T126" s="26">
        <f>COUNTIFS(Table4[Status Anterior],'1. Status Resumo'!$P126,Table4[Sub-âmbito],'1. Status Resumo'!$G$118,Table4[Tipo de teste],"2. Campo")</f>
        <v>0</v>
      </c>
      <c r="U126" s="26">
        <f>COUNTIFS(Table4[Status Atual],'1. Status Resumo'!$P126,Table4[Sub-âmbito],'1. Status Resumo'!$G$118,Table4[Tipo de teste],"2. Campo")</f>
        <v>0</v>
      </c>
      <c r="V126" s="26">
        <f t="shared" si="7"/>
        <v>0</v>
      </c>
      <c r="X126" s="422"/>
      <c r="Y126" s="422"/>
      <c r="Z126" s="422"/>
      <c r="AA126" s="422"/>
      <c r="AB126" s="422"/>
      <c r="AC126" s="422"/>
      <c r="AD126" s="422"/>
      <c r="AE126" s="422"/>
      <c r="AF126" s="422"/>
      <c r="AG126" s="163"/>
      <c r="AH126" s="117"/>
    </row>
    <row r="127" spans="1:34" ht="17.7" customHeight="1">
      <c r="A127" s="117"/>
      <c r="B127" s="122"/>
      <c r="D127" s="393"/>
      <c r="E127" s="393"/>
      <c r="P127" s="26" t="s">
        <v>615</v>
      </c>
      <c r="T127" s="26">
        <f>COUNTIFS(Table4[Status Anterior],'1. Status Resumo'!$P127,Table4[Sub-âmbito],'1. Status Resumo'!$G$118,Table4[Tipo de teste],"2. Campo")</f>
        <v>2</v>
      </c>
      <c r="U127" s="26">
        <f>COUNTIFS(Table4[Status Atual],'1. Status Resumo'!$P127,Table4[Sub-âmbito],'1. Status Resumo'!$G$118,Table4[Tipo de teste],"2. Campo")</f>
        <v>2</v>
      </c>
      <c r="V127" s="26">
        <f t="shared" si="7"/>
        <v>0</v>
      </c>
      <c r="X127" s="422"/>
      <c r="Y127" s="422"/>
      <c r="Z127" s="422"/>
      <c r="AA127" s="422"/>
      <c r="AB127" s="422"/>
      <c r="AC127" s="422"/>
      <c r="AD127" s="422"/>
      <c r="AE127" s="422"/>
      <c r="AF127" s="422"/>
      <c r="AG127" s="163"/>
      <c r="AH127" s="117"/>
    </row>
    <row r="128" spans="1:34">
      <c r="A128" s="117"/>
      <c r="B128" s="122"/>
      <c r="D128" s="393"/>
      <c r="E128" s="393"/>
      <c r="P128" s="26" t="s">
        <v>616</v>
      </c>
      <c r="R128" s="26" t="s">
        <v>617</v>
      </c>
      <c r="T128" s="26">
        <f>COUNTIFS(Table4[Status Anterior],'1. Status Resumo'!$P128,Table4[Sub-âmbito],'1. Status Resumo'!$G$118,Table4[Tipo de teste],"2. Campo")</f>
        <v>6</v>
      </c>
      <c r="U128" s="26">
        <f>COUNTIFS(Table4[Status Atual],'1. Status Resumo'!$P128,Table4[Sub-âmbito],'1. Status Resumo'!$G$118,Table4[Tipo de teste],"2. Campo")</f>
        <v>1</v>
      </c>
      <c r="V128" s="26">
        <f t="shared" si="7"/>
        <v>-5</v>
      </c>
      <c r="X128" s="422"/>
      <c r="Y128" s="422"/>
      <c r="Z128" s="422"/>
      <c r="AA128" s="422"/>
      <c r="AB128" s="422"/>
      <c r="AC128" s="422"/>
      <c r="AD128" s="422"/>
      <c r="AE128" s="422"/>
      <c r="AF128" s="422"/>
      <c r="AG128" s="163"/>
      <c r="AH128" s="117"/>
    </row>
    <row r="129" spans="1:34">
      <c r="A129" s="117"/>
      <c r="B129" s="122"/>
      <c r="D129" s="393"/>
      <c r="E129" s="393"/>
      <c r="P129" s="26" t="s">
        <v>618</v>
      </c>
      <c r="T129" s="26">
        <f>COUNTIFS(Table4[Status Anterior],'1. Status Resumo'!$P129,Table4[Sub-âmbito],'1. Status Resumo'!$G$118,Table4[Tipo de teste],"2. Campo")</f>
        <v>0</v>
      </c>
      <c r="U129" s="26">
        <f>COUNTIFS(Table4[Status Atual],'1. Status Resumo'!$P129,Table4[Sub-âmbito],'1. Status Resumo'!$G$118,Table4[Tipo de teste],"2. Campo")</f>
        <v>0</v>
      </c>
      <c r="V129" s="26">
        <f>U129-T129</f>
        <v>0</v>
      </c>
      <c r="X129" s="422"/>
      <c r="Y129" s="422"/>
      <c r="Z129" s="422"/>
      <c r="AA129" s="422"/>
      <c r="AB129" s="422"/>
      <c r="AC129" s="422"/>
      <c r="AD129" s="422"/>
      <c r="AE129" s="422"/>
      <c r="AF129" s="422"/>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22"/>
      <c r="Y130" s="422"/>
      <c r="Z130" s="422"/>
      <c r="AA130" s="422"/>
      <c r="AB130" s="422"/>
      <c r="AC130" s="422"/>
      <c r="AD130" s="422"/>
      <c r="AE130" s="422"/>
      <c r="AF130" s="422"/>
      <c r="AG130" s="163"/>
      <c r="AH130" s="117"/>
    </row>
    <row r="131" spans="1:34">
      <c r="A131" s="117"/>
      <c r="B131" s="122"/>
      <c r="T131" s="128">
        <f>SUM(T122:T130)</f>
        <v>135</v>
      </c>
      <c r="U131" s="128">
        <f>SUM(U122:U130)</f>
        <v>135</v>
      </c>
      <c r="X131" s="422"/>
      <c r="Y131" s="422"/>
      <c r="Z131" s="422"/>
      <c r="AA131" s="422"/>
      <c r="AB131" s="422"/>
      <c r="AC131" s="422"/>
      <c r="AD131" s="422"/>
      <c r="AE131" s="422"/>
      <c r="AF131" s="422"/>
      <c r="AG131" s="163"/>
      <c r="AH131" s="117"/>
    </row>
    <row r="132" spans="1:34">
      <c r="A132" s="117"/>
      <c r="B132" s="122"/>
      <c r="T132" s="128"/>
      <c r="U132" s="128"/>
      <c r="X132" s="422"/>
      <c r="Y132" s="422"/>
      <c r="Z132" s="422"/>
      <c r="AA132" s="422"/>
      <c r="AB132" s="422"/>
      <c r="AC132" s="422"/>
      <c r="AD132" s="422"/>
      <c r="AE132" s="422"/>
      <c r="AF132" s="422"/>
      <c r="AG132" s="163"/>
      <c r="AH132" s="117"/>
    </row>
    <row r="133" spans="1:34">
      <c r="A133" s="117"/>
      <c r="B133" s="122"/>
      <c r="P133" s="130" t="s">
        <v>619</v>
      </c>
      <c r="Q133" s="131"/>
      <c r="R133" s="131"/>
      <c r="S133" s="131"/>
      <c r="T133" s="131"/>
      <c r="U133" s="131"/>
      <c r="V133" s="131"/>
      <c r="X133" s="422"/>
      <c r="Y133" s="422"/>
      <c r="Z133" s="422"/>
      <c r="AA133" s="422"/>
      <c r="AB133" s="422"/>
      <c r="AC133" s="422"/>
      <c r="AD133" s="422"/>
      <c r="AE133" s="422"/>
      <c r="AF133" s="422"/>
      <c r="AG133" s="163"/>
      <c r="AH133" s="117"/>
    </row>
    <row r="134" spans="1:34">
      <c r="A134" s="117"/>
      <c r="B134" s="122"/>
      <c r="O134" s="160" t="s">
        <v>621</v>
      </c>
      <c r="P134" s="26" t="s">
        <v>380</v>
      </c>
      <c r="T134" s="206" t="s">
        <v>1923</v>
      </c>
      <c r="X134" s="422"/>
      <c r="Y134" s="422"/>
      <c r="Z134" s="422"/>
      <c r="AA134" s="422"/>
      <c r="AB134" s="422"/>
      <c r="AC134" s="422"/>
      <c r="AD134" s="422"/>
      <c r="AE134" s="422"/>
      <c r="AF134" s="422"/>
      <c r="AG134" s="163"/>
      <c r="AH134" s="117"/>
    </row>
    <row r="135" spans="1:34">
      <c r="A135" s="117"/>
      <c r="B135" s="122"/>
      <c r="O135" s="160" t="s">
        <v>621</v>
      </c>
      <c r="P135" s="26" t="s">
        <v>336</v>
      </c>
      <c r="T135" s="162" t="s">
        <v>2053</v>
      </c>
      <c r="X135" s="422"/>
      <c r="Y135" s="422"/>
      <c r="Z135" s="422"/>
      <c r="AA135" s="422"/>
      <c r="AB135" s="422"/>
      <c r="AC135" s="422"/>
      <c r="AD135" s="422"/>
      <c r="AE135" s="422"/>
      <c r="AF135" s="422"/>
      <c r="AG135" s="163"/>
      <c r="AH135" s="117"/>
    </row>
    <row r="136" spans="1:34">
      <c r="A136" s="117"/>
      <c r="B136" s="122"/>
      <c r="O136" s="160" t="s">
        <v>621</v>
      </c>
      <c r="P136" s="26" t="s">
        <v>369</v>
      </c>
      <c r="T136" s="206" t="s">
        <v>1923</v>
      </c>
      <c r="X136" s="422"/>
      <c r="Y136" s="422"/>
      <c r="Z136" s="422"/>
      <c r="AA136" s="422"/>
      <c r="AB136" s="422"/>
      <c r="AC136" s="422"/>
      <c r="AD136" s="422"/>
      <c r="AE136" s="422"/>
      <c r="AF136" s="422"/>
      <c r="AG136" s="163"/>
      <c r="AH136" s="117"/>
    </row>
    <row r="137" spans="1:34">
      <c r="A137" s="117"/>
      <c r="B137" s="122"/>
      <c r="O137" s="160" t="s">
        <v>621</v>
      </c>
      <c r="P137" s="26" t="s">
        <v>440</v>
      </c>
      <c r="T137" s="162" t="s">
        <v>623</v>
      </c>
      <c r="X137" s="422"/>
      <c r="Y137" s="422"/>
      <c r="Z137" s="422"/>
      <c r="AA137" s="422"/>
      <c r="AB137" s="422"/>
      <c r="AC137" s="422"/>
      <c r="AD137" s="422"/>
      <c r="AE137" s="422"/>
      <c r="AF137" s="422"/>
      <c r="AG137" s="163"/>
      <c r="AH137" s="117"/>
    </row>
    <row r="138" spans="1:34">
      <c r="A138" s="117"/>
      <c r="B138" s="122"/>
      <c r="O138" s="160" t="s">
        <v>621</v>
      </c>
      <c r="P138" s="26" t="s">
        <v>442</v>
      </c>
      <c r="T138" s="162" t="s">
        <v>623</v>
      </c>
      <c r="X138" s="422"/>
      <c r="Y138" s="422"/>
      <c r="Z138" s="422"/>
      <c r="AA138" s="422"/>
      <c r="AB138" s="422"/>
      <c r="AC138" s="422"/>
      <c r="AD138" s="422"/>
      <c r="AE138" s="422"/>
      <c r="AF138" s="422"/>
      <c r="AG138" s="163"/>
      <c r="AH138" s="117"/>
    </row>
    <row r="139" spans="1:34">
      <c r="A139" s="117"/>
      <c r="B139" s="122"/>
      <c r="O139" s="160" t="s">
        <v>621</v>
      </c>
      <c r="P139" s="26" t="s">
        <v>1948</v>
      </c>
      <c r="T139" s="254" t="s">
        <v>2003</v>
      </c>
      <c r="X139" s="422"/>
      <c r="Y139" s="422"/>
      <c r="Z139" s="422"/>
      <c r="AA139" s="422"/>
      <c r="AB139" s="422"/>
      <c r="AC139" s="422"/>
      <c r="AD139" s="422"/>
      <c r="AE139" s="422"/>
      <c r="AF139" s="422"/>
      <c r="AG139" s="163"/>
      <c r="AH139" s="117"/>
    </row>
    <row r="140" spans="1:34">
      <c r="A140" s="117"/>
      <c r="B140" s="122"/>
      <c r="O140" s="160" t="s">
        <v>621</v>
      </c>
      <c r="P140" s="26" t="s">
        <v>1949</v>
      </c>
      <c r="T140" s="162" t="s">
        <v>623</v>
      </c>
      <c r="X140" s="422"/>
      <c r="Y140" s="422"/>
      <c r="Z140" s="422"/>
      <c r="AA140" s="422"/>
      <c r="AB140" s="422"/>
      <c r="AC140" s="422"/>
      <c r="AD140" s="422"/>
      <c r="AE140" s="422"/>
      <c r="AF140" s="422"/>
      <c r="AG140" s="163"/>
      <c r="AH140" s="117"/>
    </row>
    <row r="141" spans="1:34">
      <c r="A141" s="117"/>
      <c r="B141" s="122"/>
      <c r="O141" s="160" t="s">
        <v>621</v>
      </c>
      <c r="P141" s="26" t="s">
        <v>393</v>
      </c>
      <c r="T141" s="162" t="s">
        <v>623</v>
      </c>
      <c r="X141" s="422"/>
      <c r="Y141" s="422"/>
      <c r="Z141" s="422"/>
      <c r="AA141" s="422"/>
      <c r="AB141" s="422"/>
      <c r="AC141" s="422"/>
      <c r="AD141" s="422"/>
      <c r="AE141" s="422"/>
      <c r="AF141" s="422"/>
      <c r="AG141" s="163"/>
      <c r="AH141" s="117"/>
    </row>
    <row r="142" spans="1:34">
      <c r="A142" s="117"/>
      <c r="B142" s="122"/>
      <c r="O142" s="160"/>
      <c r="T142" s="162"/>
      <c r="X142" s="422"/>
      <c r="Y142" s="422"/>
      <c r="Z142" s="422"/>
      <c r="AA142" s="422"/>
      <c r="AB142" s="422"/>
      <c r="AC142" s="422"/>
      <c r="AD142" s="422"/>
      <c r="AE142" s="422"/>
      <c r="AF142" s="422"/>
      <c r="AG142" s="163"/>
      <c r="AH142" s="117"/>
    </row>
    <row r="143" spans="1:34">
      <c r="A143" s="117"/>
      <c r="B143" s="122"/>
      <c r="X143" s="422"/>
      <c r="Y143" s="422"/>
      <c r="Z143" s="422"/>
      <c r="AA143" s="422"/>
      <c r="AB143" s="422"/>
      <c r="AC143" s="422"/>
      <c r="AD143" s="422"/>
      <c r="AE143" s="422"/>
      <c r="AF143" s="422"/>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E7"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2030</v>
      </c>
    </row>
    <row r="7" spans="1:15" ht="16.2" hidden="1" customHeight="1">
      <c r="A7" s="30" t="str">
        <f>E7&amp;F7</f>
        <v>ENERGY_CERTIFICATE_EST_INPUTn.a.</v>
      </c>
      <c r="B7" s="142" t="s">
        <v>26</v>
      </c>
      <c r="C7" s="138" t="s">
        <v>34</v>
      </c>
      <c r="D7" s="134" t="s">
        <v>36</v>
      </c>
      <c r="E7" s="135" t="s">
        <v>37</v>
      </c>
      <c r="F7" s="134" t="s">
        <v>38</v>
      </c>
      <c r="G7" s="136" t="str">
        <f>VLOOKUP(A7,Plano_V3!$A$26:$G$592,7,0)</f>
        <v>4. Validação EF</v>
      </c>
      <c r="H7" s="136" t="s">
        <v>618</v>
      </c>
      <c r="I7" s="143" t="s">
        <v>2069</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4. Validação EF</v>
      </c>
      <c r="H8" s="136" t="s">
        <v>618</v>
      </c>
      <c r="I8" s="143" t="s">
        <v>2069</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4. Validação EF</v>
      </c>
      <c r="H9" s="136" t="s">
        <v>618</v>
      </c>
      <c r="I9" s="143" t="s">
        <v>2069</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4. Validação EF</v>
      </c>
      <c r="H10" s="136" t="s">
        <v>618</v>
      </c>
      <c r="I10" s="143" t="s">
        <v>2069</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4. Validação EF</v>
      </c>
      <c r="H11" s="136" t="s">
        <v>618</v>
      </c>
      <c r="I11" s="143" t="s">
        <v>2069</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4. Validação EF</v>
      </c>
      <c r="H12" s="136" t="s">
        <v>618</v>
      </c>
      <c r="I12" s="143" t="s">
        <v>2069</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4. Validação EF</v>
      </c>
      <c r="H13" s="136" t="s">
        <v>618</v>
      </c>
      <c r="I13" s="143" t="s">
        <v>2069</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4. Validação EF</v>
      </c>
      <c r="H14" s="136" t="s">
        <v>618</v>
      </c>
      <c r="I14" s="143" t="s">
        <v>2069</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4. Validação EF</v>
      </c>
      <c r="H15" s="136" t="s">
        <v>618</v>
      </c>
      <c r="I15" s="143" t="s">
        <v>2069</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4. Validação EF</v>
      </c>
      <c r="H16" s="136" t="s">
        <v>618</v>
      </c>
      <c r="I16" s="143" t="s">
        <v>2069</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4. Validação EF</v>
      </c>
      <c r="H17" s="136" t="s">
        <v>618</v>
      </c>
      <c r="I17" s="143" t="s">
        <v>2069</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4. Validação EF</v>
      </c>
      <c r="H18" s="136" t="s">
        <v>618</v>
      </c>
      <c r="I18" s="143" t="s">
        <v>2069</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4. Validação EF</v>
      </c>
      <c r="H19" s="136" t="s">
        <v>618</v>
      </c>
      <c r="I19" s="143" t="s">
        <v>2069</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VLOOKUP(A107,Plano_V3!$A$26:$G$592,7,0)</f>
        <v>1. Concluído</v>
      </c>
      <c r="H107" s="136" t="s">
        <v>1921</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649</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650</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651</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652</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653</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653</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653</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653</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654</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653</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653</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653</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655</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653</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1921</v>
      </c>
      <c r="I352" s="143" t="s">
        <v>656</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1921</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1921</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1921</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656</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618</v>
      </c>
      <c r="I382" s="154" t="s">
        <v>656</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618</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1. Concluído</v>
      </c>
      <c r="H384" s="136" t="s">
        <v>613</v>
      </c>
      <c r="I384" s="154" t="s">
        <v>656</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1. Concluído</v>
      </c>
      <c r="H386" s="136" t="s">
        <v>618</v>
      </c>
      <c r="I386" s="154" t="s">
        <v>656</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618</v>
      </c>
      <c r="I387" s="154" t="s">
        <v>656</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1. Concluído</v>
      </c>
      <c r="H388" s="136" t="s">
        <v>618</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1. Concluído</v>
      </c>
      <c r="H389" s="136" t="s">
        <v>613</v>
      </c>
      <c r="I389" s="154" t="s">
        <v>656</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613</v>
      </c>
      <c r="I391" s="154" t="s">
        <v>657</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613</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613</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613</v>
      </c>
      <c r="I395" s="154" t="s">
        <v>657</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613</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613</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658</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658</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658</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658</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658</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658</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9"/>
        <v>modesg_out_sfcs_taxon_europeian.a.</v>
      </c>
      <c r="B415" s="142" t="s">
        <v>26</v>
      </c>
      <c r="C415" s="138" t="s">
        <v>311</v>
      </c>
      <c r="D415" s="134" t="s">
        <v>36</v>
      </c>
      <c r="E415" s="135" t="s">
        <v>334</v>
      </c>
      <c r="F415" s="134" t="s">
        <v>38</v>
      </c>
      <c r="G415" s="136" t="str">
        <f>VLOOKUP(A415,Plano_V3!$A$26:$G$592,7,0)</f>
        <v>2.2 Em Re-especificação</v>
      </c>
      <c r="H415" s="136" t="s">
        <v>1921</v>
      </c>
      <c r="I415" s="143" t="s">
        <v>656</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9"/>
        <v>modesg_out_sfcs_taxon_europeiacbalcao</v>
      </c>
      <c r="B416" s="142" t="s">
        <v>26</v>
      </c>
      <c r="C416" s="138" t="s">
        <v>311</v>
      </c>
      <c r="D416" s="134" t="s">
        <v>40</v>
      </c>
      <c r="E416" s="135" t="s">
        <v>334</v>
      </c>
      <c r="F416" s="134" t="s">
        <v>183</v>
      </c>
      <c r="G416" s="136" t="str">
        <f>VLOOKUP(A416,Plano_V3!$A$26:$G$592,7,0)</f>
        <v>2.2 Em Re-especificação</v>
      </c>
      <c r="H416" s="136" t="s">
        <v>1921</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9"/>
        <v>modesg_out_sfcs_taxon_europeiacempresa</v>
      </c>
      <c r="B417" s="142" t="s">
        <v>26</v>
      </c>
      <c r="C417" s="138" t="s">
        <v>311</v>
      </c>
      <c r="D417" s="134" t="s">
        <v>40</v>
      </c>
      <c r="E417" s="135" t="s">
        <v>334</v>
      </c>
      <c r="F417" s="134" t="s">
        <v>184</v>
      </c>
      <c r="G417" s="136" t="str">
        <f>VLOOKUP(A417,Plano_V3!$A$26:$G$592,7,0)</f>
        <v>2.2 Em Re-especificação</v>
      </c>
      <c r="H417" s="136" t="s">
        <v>1921</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9"/>
        <v>modesg_out_sfcs_taxon_europeiacnumecta</v>
      </c>
      <c r="B418" s="142" t="s">
        <v>26</v>
      </c>
      <c r="C418" s="138" t="s">
        <v>311</v>
      </c>
      <c r="D418" s="134" t="s">
        <v>40</v>
      </c>
      <c r="E418" s="135" t="s">
        <v>334</v>
      </c>
      <c r="F418" s="134" t="s">
        <v>189</v>
      </c>
      <c r="G418" s="136" t="str">
        <f>VLOOKUP(A418,Plano_V3!$A$26:$G$592,7,0)</f>
        <v>2.2 Em Re-especificação</v>
      </c>
      <c r="H418" s="136" t="s">
        <v>1921</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9"/>
        <v>modesg_out_sfcs_taxon_europeiacod_regra</v>
      </c>
      <c r="B419" s="142" t="s">
        <v>26</v>
      </c>
      <c r="C419" s="138" t="s">
        <v>311</v>
      </c>
      <c r="D419" s="134" t="s">
        <v>40</v>
      </c>
      <c r="E419" s="135" t="s">
        <v>334</v>
      </c>
      <c r="F419" s="134" t="s">
        <v>191</v>
      </c>
      <c r="G419" s="136" t="str">
        <f>VLOOKUP(A419,Plano_V3!$A$26:$G$592,7,0)</f>
        <v>2.2 Em Re-especificação</v>
      </c>
      <c r="H419" s="136" t="s">
        <v>1921</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655</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9"/>
        <v>modesg_out_sfcs_taxon_europeiamontante_pndrc</v>
      </c>
      <c r="B421" s="142" t="s">
        <v>26</v>
      </c>
      <c r="C421" s="138" t="s">
        <v>311</v>
      </c>
      <c r="D421" s="134" t="s">
        <v>40</v>
      </c>
      <c r="E421" s="135" t="s">
        <v>334</v>
      </c>
      <c r="F421" s="134" t="s">
        <v>202</v>
      </c>
      <c r="G421" s="136" t="str">
        <f>VLOOKUP(A421,Plano_V3!$A$26:$G$592,7,0)</f>
        <v>2.2 Em Re-especificação</v>
      </c>
      <c r="H421" s="136" t="s">
        <v>1921</v>
      </c>
      <c r="I421" s="143" t="s">
        <v>656</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9"/>
        <v>modesg_out_sfcs_taxon_europeianome_ctgr_sfcs</v>
      </c>
      <c r="B422" s="142" t="s">
        <v>26</v>
      </c>
      <c r="C422" s="138" t="s">
        <v>311</v>
      </c>
      <c r="D422" s="134" t="s">
        <v>40</v>
      </c>
      <c r="E422" s="135" t="s">
        <v>334</v>
      </c>
      <c r="F422" s="134" t="s">
        <v>203</v>
      </c>
      <c r="G422" s="136" t="str">
        <f>VLOOKUP(A422,Plano_V3!$A$26:$G$592,7,0)</f>
        <v>2.2 Em Re-especificação</v>
      </c>
      <c r="H422" s="136" t="s">
        <v>1921</v>
      </c>
      <c r="I422" s="143" t="s">
        <v>656</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2.2 Em Re-especificação</v>
      </c>
      <c r="H423" s="136" t="s">
        <v>1921</v>
      </c>
      <c r="I423" s="143" t="s">
        <v>656</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9"/>
        <v>modesg_out_sfcs_taxon_europeianome_purpose_esg</v>
      </c>
      <c r="B424" s="142" t="s">
        <v>26</v>
      </c>
      <c r="C424" s="138" t="s">
        <v>311</v>
      </c>
      <c r="D424" s="134" t="s">
        <v>40</v>
      </c>
      <c r="E424" s="135" t="s">
        <v>334</v>
      </c>
      <c r="F424" s="134" t="s">
        <v>205</v>
      </c>
      <c r="G424" s="136" t="str">
        <f>VLOOKUP(A424,Plano_V3!$A$26:$G$592,7,0)</f>
        <v>2.2 Em Re-especificação</v>
      </c>
      <c r="H424" s="136" t="s">
        <v>1921</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2.2 Em Re-especificação</v>
      </c>
      <c r="H425" s="136" t="s">
        <v>1921</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2.2 Em Re-especificação</v>
      </c>
      <c r="H426" s="136" t="s">
        <v>1921</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9"/>
        <v>modesg_out_sfcs_taxon_europeiaref_date</v>
      </c>
      <c r="B428" s="142" t="s">
        <v>26</v>
      </c>
      <c r="C428" s="138" t="s">
        <v>311</v>
      </c>
      <c r="D428" s="134" t="s">
        <v>40</v>
      </c>
      <c r="E428" s="135" t="s">
        <v>334</v>
      </c>
      <c r="F428" s="134" t="s">
        <v>208</v>
      </c>
      <c r="G428" s="136" t="str">
        <f>VLOOKUP(A428,Plano_V3!$A$26:$G$592,7,0)</f>
        <v>2.2 Em Re-especificação</v>
      </c>
      <c r="H428" s="136" t="s">
        <v>1921</v>
      </c>
      <c r="I428" s="143" t="s">
        <v>656</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9"/>
        <v>modesg_out_sfcs_taxon_europeiazdeposit</v>
      </c>
      <c r="B429" s="142" t="s">
        <v>26</v>
      </c>
      <c r="C429" s="138" t="s">
        <v>311</v>
      </c>
      <c r="D429" s="134" t="s">
        <v>40</v>
      </c>
      <c r="E429" s="135" t="s">
        <v>334</v>
      </c>
      <c r="F429" s="134" t="s">
        <v>210</v>
      </c>
      <c r="G429" s="136" t="str">
        <f>VLOOKUP(A429,Plano_V3!$A$26:$G$592,7,0)</f>
        <v>2.2 Em Re-especificação</v>
      </c>
      <c r="H429" s="136" t="s">
        <v>1921</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9"/>
        <v>lt003_entitynace_esg</v>
      </c>
      <c r="B430" s="142" t="s">
        <v>26</v>
      </c>
      <c r="C430" s="138" t="s">
        <v>26</v>
      </c>
      <c r="D430" s="134" t="s">
        <v>40</v>
      </c>
      <c r="E430" s="137" t="s">
        <v>336</v>
      </c>
      <c r="F430" s="137" t="s">
        <v>337</v>
      </c>
      <c r="G430" s="136" t="str">
        <f>VLOOKUP(A430,Plano_V3!$A$26:$G$592,7,0)</f>
        <v>1. Concluído</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9"/>
        <v>lt003_entityesg_sbsctr</v>
      </c>
      <c r="B453" s="142" t="s">
        <v>26</v>
      </c>
      <c r="C453" s="138" t="s">
        <v>26</v>
      </c>
      <c r="D453" s="134" t="s">
        <v>40</v>
      </c>
      <c r="E453" s="137" t="s">
        <v>336</v>
      </c>
      <c r="F453" s="137" t="s">
        <v>361</v>
      </c>
      <c r="G453" s="136" t="str">
        <f>VLOOKUP(A453,Plano_V3!$A$26:$G$592,7,0)</f>
        <v>1. Concluído</v>
      </c>
      <c r="H453" s="136" t="s">
        <v>613</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9"/>
        <v>lt003_entityttl_lblty</v>
      </c>
      <c r="B454" s="142" t="s">
        <v>26</v>
      </c>
      <c r="C454" s="138" t="s">
        <v>26</v>
      </c>
      <c r="D454" s="134" t="s">
        <v>40</v>
      </c>
      <c r="E454" s="137" t="s">
        <v>336</v>
      </c>
      <c r="F454" s="137" t="s">
        <v>362</v>
      </c>
      <c r="G454" s="136" t="str">
        <f>VLOOKUP(A454,Plano_V3!$A$26:$G$592,7,0)</f>
        <v>1. Concluído</v>
      </c>
      <c r="H454" s="136" t="s">
        <v>613</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9"/>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9"/>
        <v>lt003_entitygrp_ttl_lblty</v>
      </c>
      <c r="B457" s="142" t="s">
        <v>26</v>
      </c>
      <c r="C457" s="138" t="s">
        <v>26</v>
      </c>
      <c r="D457" s="134" t="s">
        <v>40</v>
      </c>
      <c r="E457" s="137" t="s">
        <v>336</v>
      </c>
      <c r="F457" s="137" t="s">
        <v>364</v>
      </c>
      <c r="G457" s="136" t="str">
        <f>VLOOKUP(A457,Plano_V3!$A$26:$G$592,7,0)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9"/>
        <v>lt003_entitygrp_emssns_scp1</v>
      </c>
      <c r="B459" s="142" t="s">
        <v>26</v>
      </c>
      <c r="C459" s="138" t="s">
        <v>26</v>
      </c>
      <c r="D459" s="134" t="s">
        <v>40</v>
      </c>
      <c r="E459" s="137" t="s">
        <v>336</v>
      </c>
      <c r="F459" s="137" t="s">
        <v>366</v>
      </c>
      <c r="G459" s="136" t="str">
        <f>VLOOKUP(A459,Plano_V3!$A$26:$G$592,7,0)</f>
        <v>2.1 Em Teste</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9"/>
        <v>lt003_entitygrp_emssns_scp2</v>
      </c>
      <c r="B460" s="142" t="s">
        <v>26</v>
      </c>
      <c r="C460" s="138" t="s">
        <v>26</v>
      </c>
      <c r="D460" s="134" t="s">
        <v>40</v>
      </c>
      <c r="E460" s="137" t="s">
        <v>336</v>
      </c>
      <c r="F460" s="137" t="s">
        <v>367</v>
      </c>
      <c r="G460" s="136" t="str">
        <f>VLOOKUP(A460,Plano_V3!$A$26:$G$592,7,0)</f>
        <v>2.1 Em Teste</v>
      </c>
      <c r="H460" s="136" t="s">
        <v>613</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9"/>
        <v>lt003_entitygrp_emssns_scp3</v>
      </c>
      <c r="B461" s="142" t="s">
        <v>26</v>
      </c>
      <c r="C461" s="138" t="s">
        <v>26</v>
      </c>
      <c r="D461" s="134" t="s">
        <v>40</v>
      </c>
      <c r="E461" s="137" t="s">
        <v>336</v>
      </c>
      <c r="F461" s="137" t="s">
        <v>368</v>
      </c>
      <c r="G461" s="136" t="str">
        <f>VLOOKUP(A461,Plano_V3!$A$26:$G$592,7,0)</f>
        <v>2.1 Em Teste</v>
      </c>
      <c r="H461" s="136" t="s">
        <v>613</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9"/>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9"/>
        <v>lt004_protectionep_scr</v>
      </c>
      <c r="B463" s="142" t="s">
        <v>26</v>
      </c>
      <c r="C463" s="138" t="s">
        <v>26</v>
      </c>
      <c r="D463" s="134" t="s">
        <v>40</v>
      </c>
      <c r="E463" s="137" t="s">
        <v>369</v>
      </c>
      <c r="F463" s="317" t="s">
        <v>371</v>
      </c>
      <c r="G463" s="136" t="str">
        <f>VLOOKUP(A463,Plano_V3!$A$26:$G$592,7,0)</f>
        <v>1. Concluído</v>
      </c>
      <c r="H463" s="136" t="s">
        <v>616</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9"/>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9"/>
        <v>lt004_protectionepc_lbl</v>
      </c>
      <c r="B465" s="142" t="s">
        <v>26</v>
      </c>
      <c r="C465" s="138" t="s">
        <v>26</v>
      </c>
      <c r="D465" s="134" t="s">
        <v>40</v>
      </c>
      <c r="E465" s="137" t="s">
        <v>369</v>
      </c>
      <c r="F465" s="317" t="s">
        <v>373</v>
      </c>
      <c r="G465" s="136" t="str">
        <f>VLOOKUP(A465,Plano_V3!$A$26:$G$592,7,0)</f>
        <v>1. Concluído</v>
      </c>
      <c r="H465" s="136" t="s">
        <v>616</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9"/>
        <v>lt004_protectionemssns_scp1_prtctn</v>
      </c>
      <c r="B466" s="142" t="s">
        <v>26</v>
      </c>
      <c r="C466" s="138" t="s">
        <v>26</v>
      </c>
      <c r="D466" s="134" t="s">
        <v>40</v>
      </c>
      <c r="E466" s="137" t="s">
        <v>369</v>
      </c>
      <c r="F466" s="317" t="s">
        <v>374</v>
      </c>
      <c r="G466" s="318" t="str">
        <f>VLOOKUP(A466,Plano_V3!$A$26:$G$592,7,0)</f>
        <v>1. Concluído</v>
      </c>
      <c r="H466" s="136" t="s">
        <v>1921</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10">E467&amp;F467</f>
        <v>lt004_protectionemssns_scp2_prtctn</v>
      </c>
      <c r="B467" s="142" t="s">
        <v>26</v>
      </c>
      <c r="C467" s="138" t="s">
        <v>26</v>
      </c>
      <c r="D467" s="134" t="s">
        <v>40</v>
      </c>
      <c r="E467" s="137" t="s">
        <v>369</v>
      </c>
      <c r="F467" s="317" t="s">
        <v>375</v>
      </c>
      <c r="G467" s="318" t="str">
        <f>VLOOKUP(A467,Plano_V3!$A$26:$G$592,7,0)</f>
        <v>1. Concluído</v>
      </c>
      <c r="H467" s="136" t="s">
        <v>1921</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10"/>
        <v>lt004_protectionemssns_scp3_prtctn</v>
      </c>
      <c r="B468" s="142" t="s">
        <v>26</v>
      </c>
      <c r="C468" s="138" t="s">
        <v>26</v>
      </c>
      <c r="D468" s="134" t="s">
        <v>40</v>
      </c>
      <c r="E468" s="137" t="s">
        <v>369</v>
      </c>
      <c r="F468" s="317" t="s">
        <v>376</v>
      </c>
      <c r="G468" s="318" t="str">
        <f>VLOOKUP(A468,Plano_V3!$A$26:$G$592,7,0)</f>
        <v>1. Concluído</v>
      </c>
      <c r="H468" s="136" t="s">
        <v>1921</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10"/>
        <v>lt004_protectionmthd_usd_prtctn_scp_1</v>
      </c>
      <c r="B469" s="142" t="s">
        <v>26</v>
      </c>
      <c r="C469" s="138" t="s">
        <v>26</v>
      </c>
      <c r="D469" s="134" t="s">
        <v>40</v>
      </c>
      <c r="E469" s="137" t="s">
        <v>369</v>
      </c>
      <c r="F469" s="317" t="s">
        <v>377</v>
      </c>
      <c r="G469" s="318" t="str">
        <f>VLOOKUP(A469,Plano_V3!$A$26:$G$592,7,0)</f>
        <v>1. Concluído</v>
      </c>
      <c r="H469" s="136" t="s">
        <v>1921</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10"/>
        <v>lt004_protectionmthd_usd_prtctn_scp_2</v>
      </c>
      <c r="B470" s="142" t="s">
        <v>26</v>
      </c>
      <c r="C470" s="138" t="s">
        <v>26</v>
      </c>
      <c r="D470" s="134" t="s">
        <v>40</v>
      </c>
      <c r="E470" s="137" t="s">
        <v>369</v>
      </c>
      <c r="F470" s="317" t="s">
        <v>378</v>
      </c>
      <c r="G470" s="318" t="str">
        <f>VLOOKUP(A470,Plano_V3!$A$26:$G$592,7,0)</f>
        <v>1. Concluído</v>
      </c>
      <c r="H470" s="136" t="s">
        <v>1921</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10"/>
        <v>lt004_protectionmthd_usd_prtctn_scp_3</v>
      </c>
      <c r="B471" s="142" t="s">
        <v>26</v>
      </c>
      <c r="C471" s="138" t="s">
        <v>26</v>
      </c>
      <c r="D471" s="134" t="s">
        <v>40</v>
      </c>
      <c r="E471" s="137" t="s">
        <v>369</v>
      </c>
      <c r="F471" s="317" t="s">
        <v>379</v>
      </c>
      <c r="G471" s="318" t="str">
        <f>VLOOKUP(A471,Plano_V3!$A$26:$G$592,7,0)</f>
        <v>1. Concluído</v>
      </c>
      <c r="H471" s="136" t="s">
        <v>1921</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10"/>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10"/>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10"/>
        <v>lt007_instr_activityenvrnmntl_objctv</v>
      </c>
      <c r="B476" s="142" t="s">
        <v>26</v>
      </c>
      <c r="C476" s="138" t="s">
        <v>26</v>
      </c>
      <c r="D476" s="134" t="s">
        <v>40</v>
      </c>
      <c r="E476" s="137" t="s">
        <v>1948</v>
      </c>
      <c r="F476" s="137" t="s">
        <v>383</v>
      </c>
      <c r="G476" s="136" t="str">
        <f>VLOOKUP(A476,Plano_V3!$A$26:$G$592,7,0)</f>
        <v>1. Concluído</v>
      </c>
      <c r="H476" s="136" t="s">
        <v>613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10"/>
        <v>lt007_instr_activitytyp_actvty</v>
      </c>
      <c r="B477" s="142" t="s">
        <v>26</v>
      </c>
      <c r="C477" s="138" t="s">
        <v>26</v>
      </c>
      <c r="D477" s="134" t="s">
        <v>40</v>
      </c>
      <c r="E477" s="137" t="s">
        <v>1948</v>
      </c>
      <c r="F477" s="137" t="s">
        <v>384</v>
      </c>
      <c r="G477" s="136" t="str">
        <f>VLOOKUP(A477,Plano_V3!$A$26:$G$592,7,0)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10"/>
        <v>lt002_instrumentmthd_usd_instrmnt_scp_1</v>
      </c>
      <c r="B479" s="142" t="s">
        <v>26</v>
      </c>
      <c r="C479" s="138" t="s">
        <v>26</v>
      </c>
      <c r="D479" s="134" t="s">
        <v>40</v>
      </c>
      <c r="E479" s="137" t="s">
        <v>380</v>
      </c>
      <c r="F479" s="137" t="s">
        <v>386</v>
      </c>
      <c r="G479" s="136" t="str">
        <f>VLOOKUP(A479,Plano_V3!$A$26:$G$592,7,0)</f>
        <v>2.1 Em Teste</v>
      </c>
      <c r="H479" s="136" t="s">
        <v>613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10"/>
        <v>lt002_instrumentmthd_usd_instrmnt_scp_2</v>
      </c>
      <c r="B480" s="142" t="s">
        <v>26</v>
      </c>
      <c r="C480" s="138" t="s">
        <v>26</v>
      </c>
      <c r="D480" s="134" t="s">
        <v>40</v>
      </c>
      <c r="E480" s="137" t="s">
        <v>380</v>
      </c>
      <c r="F480" s="137" t="s">
        <v>387</v>
      </c>
      <c r="G480" s="136" t="str">
        <f>VLOOKUP(A480,Plano_V3!$A$26:$G$592,7,0)</f>
        <v>2.1 Em Teste</v>
      </c>
      <c r="H480" s="136" t="s">
        <v>613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10"/>
        <v>lt002_instrumentmthd_usd_instrmnt_scp_3</v>
      </c>
      <c r="B481" s="142" t="s">
        <v>26</v>
      </c>
      <c r="C481" s="138" t="s">
        <v>26</v>
      </c>
      <c r="D481" s="134" t="s">
        <v>40</v>
      </c>
      <c r="E481" s="137" t="s">
        <v>380</v>
      </c>
      <c r="F481" s="137" t="s">
        <v>388</v>
      </c>
      <c r="G481" s="136" t="str">
        <f>VLOOKUP(A481,Plano_V3!$A$26:$G$592,7,0)</f>
        <v>2.1 Em Teste</v>
      </c>
      <c r="H481" s="136" t="s">
        <v>613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1927</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10"/>
        <v>lt827_mthd_usd_instrmntambito</v>
      </c>
      <c r="B483" s="142" t="s">
        <v>26</v>
      </c>
      <c r="C483" s="138" t="s">
        <v>26</v>
      </c>
      <c r="D483" s="134" t="s">
        <v>40</v>
      </c>
      <c r="E483" s="137" t="s">
        <v>1949</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10"/>
        <v>lt827_mthd_usd_instrmntref_date</v>
      </c>
      <c r="B484" s="142" t="s">
        <v>26</v>
      </c>
      <c r="C484" s="138" t="s">
        <v>26</v>
      </c>
      <c r="D484" s="134" t="s">
        <v>40</v>
      </c>
      <c r="E484" s="137" t="s">
        <v>1949</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10"/>
        <v>lt827_mthd_usd_instrmntordem</v>
      </c>
      <c r="B485" s="142" t="s">
        <v>26</v>
      </c>
      <c r="C485" s="138" t="s">
        <v>26</v>
      </c>
      <c r="D485" s="134" t="s">
        <v>40</v>
      </c>
      <c r="E485" s="137" t="s">
        <v>1949</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10"/>
        <v>lt827_mthd_usd_instrmnttabela</v>
      </c>
      <c r="B486" s="142" t="s">
        <v>26</v>
      </c>
      <c r="C486" s="138" t="s">
        <v>26</v>
      </c>
      <c r="D486" s="134" t="s">
        <v>40</v>
      </c>
      <c r="E486" s="137" t="s">
        <v>1949</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10"/>
        <v>lt827_mthd_usd_instrmntorigem_scp1_emss</v>
      </c>
      <c r="B487" s="142" t="s">
        <v>26</v>
      </c>
      <c r="C487" s="138" t="s">
        <v>26</v>
      </c>
      <c r="D487" s="134" t="s">
        <v>40</v>
      </c>
      <c r="E487" s="137" t="s">
        <v>1949</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10"/>
        <v>lt827_mthd_usd_instrmntorigem_scp2_emss</v>
      </c>
      <c r="B488" s="142" t="s">
        <v>26</v>
      </c>
      <c r="C488" s="138" t="s">
        <v>26</v>
      </c>
      <c r="D488" s="134" t="s">
        <v>40</v>
      </c>
      <c r="E488" s="137" t="s">
        <v>1949</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10"/>
        <v>lt827_mthd_usd_instrmntorigem_scp3_emss</v>
      </c>
      <c r="B489" s="142" t="s">
        <v>26</v>
      </c>
      <c r="C489" s="138" t="s">
        <v>26</v>
      </c>
      <c r="D489" s="134" t="s">
        <v>40</v>
      </c>
      <c r="E489" s="137" t="s">
        <v>1949</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10"/>
        <v>lt827_mthd_usd_instrmntmthd_usd_instrmnt_scp_1</v>
      </c>
      <c r="B490" s="142" t="s">
        <v>26</v>
      </c>
      <c r="C490" s="138" t="s">
        <v>26</v>
      </c>
      <c r="D490" s="134" t="s">
        <v>40</v>
      </c>
      <c r="E490" s="137" t="s">
        <v>1949</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10"/>
        <v>lt827_mthd_usd_instrmntmthd_usd_instrmnt_scp_2</v>
      </c>
      <c r="B491" s="142" t="s">
        <v>26</v>
      </c>
      <c r="C491" s="138" t="s">
        <v>26</v>
      </c>
      <c r="D491" s="134" t="s">
        <v>40</v>
      </c>
      <c r="E491" s="137" t="s">
        <v>1949</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10"/>
        <v>lt827_mthd_usd_instrmntmthd_usd_instrmnt_scp_3</v>
      </c>
      <c r="B492" s="142" t="s">
        <v>26</v>
      </c>
      <c r="C492" s="138" t="s">
        <v>26</v>
      </c>
      <c r="D492" s="134" t="s">
        <v>40</v>
      </c>
      <c r="E492" s="137" t="s">
        <v>1949</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10"/>
        <v>lt827_mthd_usd_instrmntpurpose_code</v>
      </c>
      <c r="B493" s="142" t="s">
        <v>26</v>
      </c>
      <c r="C493" s="138" t="s">
        <v>26</v>
      </c>
      <c r="D493" s="134" t="s">
        <v>40</v>
      </c>
      <c r="E493" s="137" t="s">
        <v>1949</v>
      </c>
      <c r="F493" s="137" t="s">
        <v>1933</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10"/>
        <v>lt827_mthd_usd_instrmntflg_fin</v>
      </c>
      <c r="B494" s="142" t="s">
        <v>26</v>
      </c>
      <c r="C494" s="138" t="s">
        <v>26</v>
      </c>
      <c r="D494" s="134" t="s">
        <v>40</v>
      </c>
      <c r="E494" s="137" t="s">
        <v>1949</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10"/>
        <v>lt827_mthd_usd_instrmntflg_exec</v>
      </c>
      <c r="B495" s="142" t="s">
        <v>26</v>
      </c>
      <c r="C495" s="138" t="s">
        <v>26</v>
      </c>
      <c r="D495" s="134" t="s">
        <v>40</v>
      </c>
      <c r="E495" s="137" t="s">
        <v>1949</v>
      </c>
      <c r="F495" s="137" t="s">
        <v>1355</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10"/>
        <v>lt827_mthd_usd_instrmntflg_col</v>
      </c>
      <c r="B496" s="142" t="s">
        <v>26</v>
      </c>
      <c r="C496" s="138" t="s">
        <v>26</v>
      </c>
      <c r="D496" s="134" t="s">
        <v>40</v>
      </c>
      <c r="E496" s="137" t="s">
        <v>1949</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10"/>
        <v>lt827_mthd_usd_instrmntflg_pro</v>
      </c>
      <c r="B497" s="142" t="s">
        <v>26</v>
      </c>
      <c r="C497" s="138" t="s">
        <v>26</v>
      </c>
      <c r="D497" s="134" t="s">
        <v>40</v>
      </c>
      <c r="E497" s="137" t="s">
        <v>1949</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659</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659</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659</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10"/>
        <v>lt007_instr_activitysstnbl_indctr</v>
      </c>
      <c r="B526" s="142" t="s">
        <v>26</v>
      </c>
      <c r="C526" s="138" t="s">
        <v>26</v>
      </c>
      <c r="D526" s="134" t="s">
        <v>40</v>
      </c>
      <c r="E526" s="137" t="s">
        <v>1948</v>
      </c>
      <c r="F526" s="137" t="s">
        <v>419</v>
      </c>
      <c r="G526" s="136" t="str">
        <f>VLOOKUP(A526,Plano_V3!$A$26:$G$592,7,0)</f>
        <v>1. Concluído</v>
      </c>
      <c r="H526" s="136" t="s">
        <v>613</v>
      </c>
      <c r="I526" s="143" t="s">
        <v>1928</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10"/>
        <v>lt007_instr_activitysstnbl_ctgry</v>
      </c>
      <c r="B527" s="142" t="s">
        <v>26</v>
      </c>
      <c r="C527" s="138" t="s">
        <v>26</v>
      </c>
      <c r="D527" s="134" t="s">
        <v>40</v>
      </c>
      <c r="E527" s="137" t="s">
        <v>1948</v>
      </c>
      <c r="F527" s="137" t="s">
        <v>420</v>
      </c>
      <c r="G527" s="136" t="str">
        <f>VLOOKUP(A527,Plano_V3!$A$26:$G$592,7,0)</f>
        <v>4. Validação EF</v>
      </c>
      <c r="H527" s="136" t="s">
        <v>615</v>
      </c>
      <c r="I527" s="143" t="s">
        <v>1928</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1921</v>
      </c>
      <c r="I528" s="143" t="s">
        <v>659</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659</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11"/>
        <v>lt004_protectiondt_rfrnc</v>
      </c>
      <c r="B543" s="142" t="s">
        <v>26</v>
      </c>
      <c r="C543" s="138" t="s">
        <v>26</v>
      </c>
      <c r="D543" s="134" t="s">
        <v>40</v>
      </c>
      <c r="E543" s="137" t="s">
        <v>369</v>
      </c>
      <c r="F543" s="317" t="s">
        <v>399</v>
      </c>
      <c r="G543" s="136" t="str">
        <f>VLOOKUP(A543,Plano_V3!$A$26:$G$592,7,0)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11"/>
        <v>lt004_protectionprtctn_id</v>
      </c>
      <c r="B544" s="142" t="s">
        <v>26</v>
      </c>
      <c r="C544" s="138" t="s">
        <v>26</v>
      </c>
      <c r="D544" s="134" t="s">
        <v>40</v>
      </c>
      <c r="E544" s="137" t="s">
        <v>369</v>
      </c>
      <c r="F544" s="317" t="s">
        <v>434</v>
      </c>
      <c r="G544" s="136" t="str">
        <f>VLOOKUP(A544,Plano_V3!$A$26:$G$592,7,0)</f>
        <v>1. Concluído</v>
      </c>
      <c r="H544" s="136" t="s">
        <v>613</v>
      </c>
      <c r="I544" s="143" t="s">
        <v>659</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11"/>
        <v>lt004_protectionrl_estt_clltrl_lctn</v>
      </c>
      <c r="B545" s="142" t="s">
        <v>26</v>
      </c>
      <c r="C545" s="138" t="s">
        <v>26</v>
      </c>
      <c r="D545" s="134" t="s">
        <v>40</v>
      </c>
      <c r="E545" s="137" t="s">
        <v>369</v>
      </c>
      <c r="F545" s="317" t="s">
        <v>435</v>
      </c>
      <c r="G545" s="136" t="str">
        <f>VLOOKUP(A545,Plano_V3!$A$26:$G$592,7,0)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11"/>
        <v>lt004_protectionrl_estt_pst_cd</v>
      </c>
      <c r="B546" s="142" t="s">
        <v>26</v>
      </c>
      <c r="C546" s="138" t="s">
        <v>26</v>
      </c>
      <c r="D546" s="134" t="s">
        <v>40</v>
      </c>
      <c r="E546" s="137" t="s">
        <v>369</v>
      </c>
      <c r="F546" s="317" t="s">
        <v>436</v>
      </c>
      <c r="G546" s="136" t="str">
        <f>VLOOKUP(A546,Plano_V3!$A$26:$G$592,7,0)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11"/>
        <v>lt004_protectiontyp_prtctn</v>
      </c>
      <c r="B547" s="142" t="s">
        <v>26</v>
      </c>
      <c r="C547" s="138" t="s">
        <v>26</v>
      </c>
      <c r="D547" s="134" t="s">
        <v>40</v>
      </c>
      <c r="E547" s="137" t="s">
        <v>369</v>
      </c>
      <c r="F547" s="317" t="s">
        <v>437</v>
      </c>
      <c r="G547" s="136" t="str">
        <f>VLOOKUP(A547,Plano_V3!$A$26:$G$592,7,0)</f>
        <v>1. Concluído</v>
      </c>
      <c r="H547" s="136" t="s">
        <v>616</v>
      </c>
      <c r="I547" s="143" t="s">
        <v>1930</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11"/>
        <v>lt004_protectionorgnl_prtctn_vl</v>
      </c>
      <c r="B548" s="142" t="s">
        <v>26</v>
      </c>
      <c r="C548" s="138" t="s">
        <v>26</v>
      </c>
      <c r="D548" s="134" t="s">
        <v>40</v>
      </c>
      <c r="E548" s="137" t="s">
        <v>369</v>
      </c>
      <c r="F548" s="317" t="s">
        <v>438</v>
      </c>
      <c r="G548" s="136" t="str">
        <f>VLOOKUP(A548,Plano_V3!$A$26:$G$592,7,0)</f>
        <v>5. Em Correção</v>
      </c>
      <c r="H548" s="136" t="s">
        <v>616</v>
      </c>
      <c r="I548" s="143" t="s">
        <v>659</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11"/>
        <v>lt004_protectionprtctn_vl</v>
      </c>
      <c r="B549" s="142" t="s">
        <v>26</v>
      </c>
      <c r="C549" s="138" t="s">
        <v>26</v>
      </c>
      <c r="D549" s="134" t="s">
        <v>40</v>
      </c>
      <c r="E549" s="137" t="s">
        <v>369</v>
      </c>
      <c r="F549" s="317" t="s">
        <v>439</v>
      </c>
      <c r="G549" s="136" t="str">
        <f>VLOOKUP(A549,Plano_V3!$A$26:$G$592,7,0)</f>
        <v>1. Concluído</v>
      </c>
      <c r="H549" s="136" t="s">
        <v>616</v>
      </c>
      <c r="I549" s="143" t="s">
        <v>659</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659</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11"/>
        <v>lt004_protectionflg_fin</v>
      </c>
      <c r="B561" s="142" t="s">
        <v>26</v>
      </c>
      <c r="C561" s="138" t="s">
        <v>26</v>
      </c>
      <c r="D561" s="134" t="s">
        <v>40</v>
      </c>
      <c r="E561" s="137" t="s">
        <v>369</v>
      </c>
      <c r="F561" s="137" t="s">
        <v>481</v>
      </c>
      <c r="G561" s="136" t="str">
        <f>VLOOKUP(A561,Plano_V3!$A$26:$G$592,7,0)</f>
        <v>1. Concluído</v>
      </c>
      <c r="H561" s="136" t="s">
        <v>613</v>
      </c>
      <c r="I561" s="143" t="s">
        <v>1932</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11"/>
        <v>lt004_protectionflg_exec</v>
      </c>
      <c r="B562" s="142" t="s">
        <v>26</v>
      </c>
      <c r="C562" s="138" t="s">
        <v>26</v>
      </c>
      <c r="D562" s="134" t="s">
        <v>40</v>
      </c>
      <c r="E562" s="137" t="s">
        <v>369</v>
      </c>
      <c r="F562" s="137" t="s">
        <v>1355</v>
      </c>
      <c r="G562" s="136" t="str">
        <f>VLOOKUP(A562,Plano_V3!$A$26:$G$592,7,0)</f>
        <v>1. Concluído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11"/>
        <v>lt004_protectionflg_col</v>
      </c>
      <c r="B563" s="142" t="s">
        <v>26</v>
      </c>
      <c r="C563" s="138" t="s">
        <v>26</v>
      </c>
      <c r="D563" s="134" t="s">
        <v>40</v>
      </c>
      <c r="E563" s="137" t="s">
        <v>369</v>
      </c>
      <c r="F563" s="137" t="s">
        <v>480</v>
      </c>
      <c r="G563" s="136" t="str">
        <f>VLOOKUP(A563,Plano_V3!$A$26:$G$592,7,0)</f>
        <v>1. Concluído</v>
      </c>
      <c r="H563" s="136" t="s">
        <v>616</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11"/>
        <v>lt004_protectionflg_pro</v>
      </c>
      <c r="B564" s="142" t="s">
        <v>26</v>
      </c>
      <c r="C564" s="138" t="s">
        <v>26</v>
      </c>
      <c r="D564" s="134" t="s">
        <v>40</v>
      </c>
      <c r="E564" s="137" t="s">
        <v>369</v>
      </c>
      <c r="F564" s="137" t="s">
        <v>482</v>
      </c>
      <c r="G564" s="136" t="str">
        <f>VLOOKUP(A564,Plano_V3!$A$26:$G$592,7,0)</f>
        <v>1. Concluído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2"/>
        <v>modesg_inp_emss_nacearea_atividade</v>
      </c>
      <c r="B566" s="142" t="s">
        <v>26</v>
      </c>
      <c r="C566" s="138" t="s">
        <v>181</v>
      </c>
      <c r="D566" s="134" t="s">
        <v>40</v>
      </c>
      <c r="E566" s="135" t="s">
        <v>219</v>
      </c>
      <c r="F566" s="134" t="s">
        <v>660</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2"/>
        <v>modesg_inp_emss_nacetipo_atividade</v>
      </c>
      <c r="B567" s="142" t="s">
        <v>26</v>
      </c>
      <c r="C567" s="138" t="s">
        <v>181</v>
      </c>
      <c r="D567" s="134" t="s">
        <v>40</v>
      </c>
      <c r="E567" s="135" t="s">
        <v>219</v>
      </c>
      <c r="F567" s="134" t="s">
        <v>661</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2"/>
        <v>modesg_inp_emss_nacesub_tipo_atividade_1</v>
      </c>
      <c r="B568" s="142" t="s">
        <v>26</v>
      </c>
      <c r="C568" s="138" t="s">
        <v>181</v>
      </c>
      <c r="D568" s="134" t="s">
        <v>40</v>
      </c>
      <c r="E568" s="135" t="s">
        <v>219</v>
      </c>
      <c r="F568" s="134" t="s">
        <v>662</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2"/>
        <v>modesg_inp_emss_nacesub_tipo_atividade_2</v>
      </c>
      <c r="B569" s="142" t="s">
        <v>26</v>
      </c>
      <c r="C569" s="138" t="s">
        <v>181</v>
      </c>
      <c r="D569" s="134" t="s">
        <v>40</v>
      </c>
      <c r="E569" s="135" t="s">
        <v>219</v>
      </c>
      <c r="F569" s="134" t="s">
        <v>663</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2"/>
        <v>modesg_inp_emss_naceunidades_unidade_funcional</v>
      </c>
      <c r="B570" s="142" t="s">
        <v>26</v>
      </c>
      <c r="C570" s="138" t="s">
        <v>181</v>
      </c>
      <c r="D570" s="134" t="s">
        <v>40</v>
      </c>
      <c r="E570" s="135" t="s">
        <v>219</v>
      </c>
      <c r="F570" s="134" t="s">
        <v>664</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2"/>
        <v>modesg_inp_emss_nacefator_emissao</v>
      </c>
      <c r="B571" s="142" t="s">
        <v>26</v>
      </c>
      <c r="C571" s="138" t="s">
        <v>181</v>
      </c>
      <c r="D571" s="134" t="s">
        <v>40</v>
      </c>
      <c r="E571" s="135" t="s">
        <v>219</v>
      </c>
      <c r="F571" s="134" t="s">
        <v>665</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2"/>
        <v>modesg_inp_km_medios_emss_vclsmedia_scp1_emss</v>
      </c>
      <c r="B572" s="142" t="s">
        <v>26</v>
      </c>
      <c r="C572" s="138" t="s">
        <v>181</v>
      </c>
      <c r="D572" s="134" t="s">
        <v>40</v>
      </c>
      <c r="E572" s="135" t="s">
        <v>214</v>
      </c>
      <c r="F572" s="134" t="s">
        <v>666</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2"/>
        <v>modesg_inp_km_medios_emss_vclsmedia_scp2_emss</v>
      </c>
      <c r="B573" s="142" t="s">
        <v>26</v>
      </c>
      <c r="C573" s="138" t="s">
        <v>181</v>
      </c>
      <c r="D573" s="134" t="s">
        <v>40</v>
      </c>
      <c r="E573" s="135" t="s">
        <v>214</v>
      </c>
      <c r="F573" s="134" t="s">
        <v>667</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2"/>
        <v>modesg_inp_km_medios_emss_vclsmedia_scp3_emss</v>
      </c>
      <c r="B574" s="146" t="s">
        <v>26</v>
      </c>
      <c r="C574" s="147" t="s">
        <v>181</v>
      </c>
      <c r="D574" s="148" t="s">
        <v>40</v>
      </c>
      <c r="E574" s="149" t="s">
        <v>214</v>
      </c>
      <c r="F574" s="148" t="s">
        <v>668</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2031.6381250000036</v>
      </c>
      <c r="L24" s="185">
        <f>L25+L40+L204+L371+L456</f>
        <v>257</v>
      </c>
      <c r="M24" s="180">
        <f>((M25*J25)+(M40*J40)+(M204*J204)+(M371*J371)+(M456*J456))/J24</f>
        <v>0.57885304659498205</v>
      </c>
      <c r="N24" s="180">
        <f>((N25*L25)+(N40*L40)+(N204*L204)+(N371*L371)+(N456*L456))/L24</f>
        <v>0.87846019527756969</v>
      </c>
      <c r="O24" s="180">
        <f t="shared" ref="O24:O87" si="15">N24-M24</f>
        <v>0.29960714868258764</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4. Validação EF</v>
      </c>
      <c r="H26" s="65">
        <f>VLOOKUP(A26,'Aux - pivots1'!$A:$B,2,0)</f>
        <v>5</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4. Validação EF</v>
      </c>
      <c r="H27" s="65">
        <f>VLOOKUP(A27,'Aux - pivots1'!$A:$B,2,0)</f>
        <v>5</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4. Validação EF</v>
      </c>
      <c r="H28" s="65">
        <f>VLOOKUP(A28,'Aux - pivots1'!$A:$B,2,0)</f>
        <v>5</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4. Validação EF</v>
      </c>
      <c r="H29" s="65">
        <f>VLOOKUP(A29,'Aux - pivots1'!$A:$B,2,0)</f>
        <v>5</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4. Validação EF</v>
      </c>
      <c r="H30" s="65">
        <f>VLOOKUP(A30,'Aux - pivots1'!$A:$B,2,0)</f>
        <v>5</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4. Validação EF</v>
      </c>
      <c r="H31" s="65">
        <f>VLOOKUP(A31,'Aux - pivots1'!$A:$B,2,0)</f>
        <v>5</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4. Validação EF</v>
      </c>
      <c r="H32" s="65">
        <f>VLOOKUP(A32,'Aux - pivots1'!$A:$B,2,0)</f>
        <v>5</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4. Validação EF</v>
      </c>
      <c r="H33" s="65">
        <f>VLOOKUP(A33,'Aux - pivots1'!$A:$B,2,0)</f>
        <v>5</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4. Validação EF</v>
      </c>
      <c r="H34" s="65">
        <f>VLOOKUP(A34,'Aux - pivots1'!$A:$B,2,0)</f>
        <v>5</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4. Validação EF</v>
      </c>
      <c r="H35" s="65">
        <f>VLOOKUP(A35,'Aux - pivots1'!$A:$B,2,0)</f>
        <v>5</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4. Validação EF</v>
      </c>
      <c r="H36" s="65">
        <f>VLOOKUP(A36,'Aux - pivots1'!$A:$B,2,0)</f>
        <v>5</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4. Validação EF</v>
      </c>
      <c r="H37" s="65">
        <f>VLOOKUP(A37,'Aux - pivots1'!$A:$B,2,0)</f>
        <v>5</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4. Validação EF</v>
      </c>
      <c r="H38" s="65">
        <f>VLOOKUP(A38,'Aux - pivots1'!$A:$B,2,0)</f>
        <v>5</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830.92500000000257</v>
      </c>
      <c r="L40" s="188">
        <f>ROUNDUP(K40/8,0)</f>
        <v>104</v>
      </c>
      <c r="M40" s="187">
        <f>SUMIFS(R40:ES40,$R$9:$ES$9,"S")/J40</f>
        <v>0.95238095238095233</v>
      </c>
      <c r="N40" s="187">
        <f>IFERROR(L40/J40,0)</f>
        <v>0.99047619047619051</v>
      </c>
      <c r="O40" s="187">
        <f t="shared" si="15"/>
        <v>3.8095238095238182E-2</v>
      </c>
      <c r="P40" s="207" t="s">
        <v>1934</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 t="shared" ref="J129" si="29">I129/8</f>
        <v>0.51249999999999996</v>
      </c>
      <c r="K129" s="189">
        <f>SUMIFS(Table1[Horas efetivas],Table1[Tabela],Plano_V3!E129,Table1[Campo],Plano_V3!F129)</f>
        <v>4.0999999999999996</v>
      </c>
      <c r="L129" s="189">
        <f t="shared" ref="L129" si="30">K129/8</f>
        <v>0.51249999999999996</v>
      </c>
      <c r="M129" s="183"/>
      <c r="N129" s="183">
        <f t="shared" si="28"/>
        <v>1</v>
      </c>
      <c r="O129" s="183">
        <f t="shared" si="23"/>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92.325000000000287</v>
      </c>
      <c r="L203" s="189">
        <f>K203/8</f>
        <v>11.540625000000036</v>
      </c>
      <c r="M203" s="183"/>
      <c r="N203" s="183">
        <f t="shared" si="36"/>
        <v>0.99434571890145396</v>
      </c>
      <c r="O203" s="183">
        <f t="shared" si="31"/>
        <v>0.99434571890145396</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1929</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680.11875000000009</v>
      </c>
      <c r="L371" s="188">
        <f>ROUNDUP(K371/8,0)</f>
        <v>86</v>
      </c>
      <c r="M371" s="187">
        <f>SUMIFS(R371:ES371,$R$9:$ES$9,"S")/J371</f>
        <v>0.32500000000000001</v>
      </c>
      <c r="N371" s="187">
        <f>IFERROR(L371/J371,0)-15%</f>
        <v>0.71</v>
      </c>
      <c r="O371" s="187">
        <f t="shared" si="61"/>
        <v>0.38499999999999995</v>
      </c>
      <c r="P371" s="194" t="s">
        <v>1924</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1. Concluído</v>
      </c>
      <c r="H411" s="65">
        <f>VLOOKUP(A411,'Aux - pivots1'!$A:$B,2,0)</f>
        <v>1</v>
      </c>
      <c r="I411" s="189">
        <f>SUMIFS(Table1[Estimação (horas)],Table1[Tabela],Plano_V3!E411,Table1[Campo],Plano_V3!F411)</f>
        <v>4.0999999999999996</v>
      </c>
      <c r="J411" s="189">
        <f t="shared" si="64"/>
        <v>0.51249999999999996</v>
      </c>
      <c r="K411" s="189">
        <f>SUMIFS(Table1[Horas efetivas],Table1[Tabela],Plano_V3!E411,Table1[Campo],Plano_V3!F411)</f>
        <v>4.0999999999999996</v>
      </c>
      <c r="L411" s="189">
        <f t="shared" si="65"/>
        <v>0.51249999999999996</v>
      </c>
      <c r="M411" s="183"/>
      <c r="N411" s="183">
        <f t="shared" si="66"/>
        <v>1</v>
      </c>
      <c r="O411" s="183">
        <f t="shared" si="67"/>
        <v>1</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64"/>
        <v>0.51249999999999996</v>
      </c>
      <c r="K413" s="189">
        <f>SUMIFS(Table1[Horas efetivas],Table1[Tabela],Plano_V3!E413,Table1[Campo],Plano_V3!F413)</f>
        <v>4.0999999999999996</v>
      </c>
      <c r="L413" s="189">
        <f t="shared" si="65"/>
        <v>0.51249999999999996</v>
      </c>
      <c r="M413" s="183"/>
      <c r="N413" s="183">
        <f t="shared" si="66"/>
        <v>1</v>
      </c>
      <c r="O413" s="183">
        <f t="shared" si="67"/>
        <v>1</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2.2 Em Re-especificação</v>
      </c>
      <c r="H440" s="65">
        <f>VLOOKUP(A440,'Aux - pivots1'!$A:$B,2,0)</f>
        <v>3</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2.2 Em Re-especificação</v>
      </c>
      <c r="H441" s="65">
        <f>VLOOKUP(A441,'Aux - pivots1'!$A:$B,2,0)</f>
        <v>3</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2.2 Em Re-especificação</v>
      </c>
      <c r="H442" s="65">
        <f>VLOOKUP(A442,'Aux - pivots1'!$A:$B,2,0)</f>
        <v>3</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2.2 Em Re-especificação</v>
      </c>
      <c r="H443" s="65">
        <f>VLOOKUP(A443,'Aux - pivots1'!$A:$B,2,0)</f>
        <v>3</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2.2 Em Re-especificação</v>
      </c>
      <c r="H444" s="65">
        <f>VLOOKUP(A444,'Aux - pivots1'!$A:$B,2,0)</f>
        <v>3</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2.2 Em Re-especificação</v>
      </c>
      <c r="H446" s="65">
        <f>VLOOKUP(A446,'Aux - pivots1'!$A:$B,2,0)</f>
        <v>3</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2.2 Em Re-especificação</v>
      </c>
      <c r="H447" s="65">
        <f>VLOOKUP(A447,'Aux - pivots1'!$A:$B,2,0)</f>
        <v>3</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2.2 Em Re-especificação</v>
      </c>
      <c r="H448" s="65">
        <f>VLOOKUP(A448,'Aux - pivots1'!$A:$B,2,0)</f>
        <v>3</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2.2 Em Re-especificação</v>
      </c>
      <c r="H449" s="65">
        <f>VLOOKUP(A449,'Aux - pivots1'!$A:$B,2,0)</f>
        <v>3</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2.2 Em Re-especificação</v>
      </c>
      <c r="H450" s="65">
        <f>VLOOKUP(A450,'Aux - pivots1'!$A:$B,2,0)</f>
        <v>3</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2.2 Em Re-especificação</v>
      </c>
      <c r="H451" s="65">
        <f>VLOOKUP(A451,'Aux - pivots1'!$A:$B,2,0)</f>
        <v>3</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2.2 Em Re-especificação</v>
      </c>
      <c r="H453" s="65">
        <f>VLOOKUP(A453,'Aux - pivots1'!$A:$B,2,0)</f>
        <v>3</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2.2 Em Re-especificação</v>
      </c>
      <c r="H454" s="65">
        <f>VLOOKUP(A454,'Aux - pivots1'!$A:$B,2,0)</f>
        <v>3</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75.568750000000009</v>
      </c>
      <c r="L455" s="189">
        <f>K455/8</f>
        <v>9.4460937500000011</v>
      </c>
      <c r="M455" s="183"/>
      <c r="N455" s="183">
        <f t="shared" si="72"/>
        <v>0.85400480293826686</v>
      </c>
      <c r="O455" s="183">
        <f t="shared" si="67"/>
        <v>0.85400480293826686</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353.08437500000133</v>
      </c>
      <c r="L456" s="188">
        <f>ROUNDUP(K456/8,0)</f>
        <v>45</v>
      </c>
      <c r="M456" s="187">
        <f>SUMIFS(R456:ES456,$R$9:$ES$9,"S")/J456</f>
        <v>6.25E-2</v>
      </c>
      <c r="N456" s="187">
        <f>IFERROR(L456/J456,0)</f>
        <v>0.9375</v>
      </c>
      <c r="O456" s="187">
        <f t="shared" si="67"/>
        <v>0.875</v>
      </c>
      <c r="P456" s="195" t="s">
        <v>1931</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1">
        <f>SUMIFS(Table1[Estimação (horas)],Table1[Tabela],Plano_V3!E473,Table1[Campo],Plano_V3!F473)</f>
        <v>4.0999999999999996</v>
      </c>
      <c r="J473" s="181">
        <f t="shared" si="73"/>
        <v>0.51249999999999996</v>
      </c>
      <c r="K473" s="181">
        <f>SUMIFS(Table1[Horas efetivas],Table1[Tabela],Plano_V3!E473,Table1[Campo],Plano_V3!F473)</f>
        <v>2.0499999999999998</v>
      </c>
      <c r="L473" s="181">
        <f t="shared" si="74"/>
        <v>0.25624999999999998</v>
      </c>
      <c r="M473" s="183"/>
      <c r="N473" s="183">
        <f t="shared" si="75"/>
        <v>0.5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1">
        <f>SUMIFS(Table1[Estimação (horas)],Table1[Tabela],Plano_V3!E474,Table1[Campo],Plano_V3!F474)</f>
        <v>4.0999999999999996</v>
      </c>
      <c r="J474" s="181">
        <f t="shared" si="73"/>
        <v>0.51249999999999996</v>
      </c>
      <c r="K474" s="181">
        <f>SUMIFS(Table1[Horas efetivas],Table1[Tabela],Plano_V3!E474,Table1[Campo],Plano_V3!F474)</f>
        <v>2.0499999999999998</v>
      </c>
      <c r="L474" s="181">
        <f t="shared" si="74"/>
        <v>0.25624999999999998</v>
      </c>
      <c r="M474" s="183"/>
      <c r="N474" s="183">
        <f t="shared" si="75"/>
        <v>0.5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1">
        <f>SUMIFS(Table1[Estimação (horas)],Table1[Tabela],Plano_V3!E475,Table1[Campo],Plano_V3!F475)</f>
        <v>4.0999999999999996</v>
      </c>
      <c r="J475" s="181">
        <f t="shared" si="73"/>
        <v>0.51249999999999996</v>
      </c>
      <c r="K475" s="181">
        <f>SUMIFS(Table1[Horas efetivas],Table1[Tabela],Plano_V3!E475,Table1[Campo],Plano_V3!F475)</f>
        <v>2.0499999999999998</v>
      </c>
      <c r="L475" s="181">
        <f t="shared" si="74"/>
        <v>0.25624999999999998</v>
      </c>
      <c r="M475" s="183"/>
      <c r="N475" s="183">
        <f t="shared" si="75"/>
        <v>0.5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73"/>
        <v>0.51249999999999996</v>
      </c>
      <c r="K486" s="181">
        <f>SUMIFS(Table1[Horas efetivas],Table1[Tabela],Plano_V3!E486,Table1[Campo],Plano_V3!F486)</f>
        <v>2.0499999999999998</v>
      </c>
      <c r="L486" s="181">
        <f t="shared" si="74"/>
        <v>0.25624999999999998</v>
      </c>
      <c r="M486" s="183"/>
      <c r="N486" s="183">
        <f t="shared" si="75"/>
        <v>0.5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73"/>
        <v>0.51249999999999996</v>
      </c>
      <c r="K487" s="181">
        <f>SUMIFS(Table1[Horas efetivas],Table1[Tabela],Plano_V3!E487,Table1[Campo],Plano_V3!F487)</f>
        <v>2.0499999999999998</v>
      </c>
      <c r="L487" s="181">
        <f t="shared" si="74"/>
        <v>0.25624999999999998</v>
      </c>
      <c r="M487" s="183"/>
      <c r="N487" s="183">
        <f t="shared" si="75"/>
        <v>0.5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73"/>
        <v>0.51249999999999996</v>
      </c>
      <c r="K488" s="181">
        <f>SUMIFS(Table1[Horas efetivas],Table1[Tabela],Plano_V3!E488,Table1[Campo],Plano_V3!F488)</f>
        <v>2.0499999999999998</v>
      </c>
      <c r="L488" s="181">
        <f t="shared" si="74"/>
        <v>0.25624999999999998</v>
      </c>
      <c r="M488" s="183"/>
      <c r="N488" s="183">
        <f t="shared" si="75"/>
        <v>0.5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73"/>
        <v>0.51249999999999996</v>
      </c>
      <c r="K490" s="181">
        <f>SUMIFS(Table1[Horas efetivas],Table1[Tabela],Plano_V3!E490,Table1[Campo],Plano_V3!F490)</f>
        <v>4.0999999999999996</v>
      </c>
      <c r="L490" s="181">
        <f t="shared" si="74"/>
        <v>0.51249999999999996</v>
      </c>
      <c r="M490" s="183"/>
      <c r="N490" s="183">
        <f t="shared" si="75"/>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73"/>
        <v>0.51249999999999996</v>
      </c>
      <c r="K492" s="181">
        <f>SUMIFS(Table1[Horas efetivas],Table1[Tabela],Plano_V3!E492,Table1[Campo],Plano_V3!F492)</f>
        <v>4.0999999999999996</v>
      </c>
      <c r="L492" s="181">
        <f t="shared" si="74"/>
        <v>0.51249999999999996</v>
      </c>
      <c r="M492" s="183"/>
      <c r="N492" s="183">
        <f t="shared" si="75"/>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73"/>
        <v>0.51249999999999996</v>
      </c>
      <c r="K493" s="181">
        <f>SUMIFS(Table1[Horas efetivas],Table1[Tabela],Plano_V3!E493,Table1[Campo],Plano_V3!F493)</f>
        <v>4.0999999999999996</v>
      </c>
      <c r="L493" s="181">
        <f t="shared" si="74"/>
        <v>0.51249999999999996</v>
      </c>
      <c r="M493" s="183"/>
      <c r="N493" s="183">
        <f t="shared" si="75"/>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73"/>
        <v>0.51249999999999996</v>
      </c>
      <c r="K494" s="181">
        <f>SUMIFS(Table1[Horas efetivas],Table1[Tabela],Plano_V3!E494,Table1[Campo],Plano_V3!F494)</f>
        <v>4.0999999999999996</v>
      </c>
      <c r="L494" s="181">
        <f t="shared" si="74"/>
        <v>0.51249999999999996</v>
      </c>
      <c r="M494" s="183"/>
      <c r="N494" s="183">
        <f t="shared" si="75"/>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73"/>
        <v>0.51249999999999996</v>
      </c>
      <c r="K495" s="181">
        <f>SUMIFS(Table1[Horas efetivas],Table1[Tabela],Plano_V3!E495,Table1[Campo],Plano_V3!F495)</f>
        <v>4.0999999999999996</v>
      </c>
      <c r="L495" s="181">
        <f t="shared" si="74"/>
        <v>0.51249999999999996</v>
      </c>
      <c r="M495" s="183"/>
      <c r="N495" s="183">
        <f t="shared" si="75"/>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73"/>
        <v>0.51249999999999996</v>
      </c>
      <c r="K496" s="181">
        <f>SUMIFS(Table1[Horas efetivas],Table1[Tabela],Plano_V3!E496,Table1[Campo],Plano_V3!F496)</f>
        <v>4.0999999999999996</v>
      </c>
      <c r="L496" s="181">
        <f t="shared" si="74"/>
        <v>0.51249999999999996</v>
      </c>
      <c r="M496" s="183"/>
      <c r="N496" s="183">
        <f t="shared" si="75"/>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73"/>
        <v>0.51249999999999996</v>
      </c>
      <c r="K497" s="181">
        <f>SUMIFS(Table1[Horas efetivas],Table1[Tabela],Plano_V3!E497,Table1[Campo],Plano_V3!F497)</f>
        <v>4.0999999999999996</v>
      </c>
      <c r="L497" s="181">
        <f t="shared" si="74"/>
        <v>0.51249999999999996</v>
      </c>
      <c r="M497" s="183"/>
      <c r="N497" s="183">
        <f t="shared" si="75"/>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73"/>
        <v>0.51249999999999996</v>
      </c>
      <c r="K498" s="181">
        <f>SUMIFS(Table1[Horas efetivas],Table1[Tabela],Plano_V3!E498,Table1[Campo],Plano_V3!F498)</f>
        <v>4.0999999999999996</v>
      </c>
      <c r="L498" s="181">
        <f t="shared" si="74"/>
        <v>0.51249999999999996</v>
      </c>
      <c r="M498" s="183"/>
      <c r="N498" s="183">
        <f t="shared" si="75"/>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1948</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1948</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1949</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1949</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1949</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1949</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1949</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1949</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1949</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1949</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1949</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1949</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1949</v>
      </c>
      <c r="F520" s="72" t="s">
        <v>1933</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1949</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1949</v>
      </c>
      <c r="F522" s="72" t="s">
        <v>1355</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1949</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1949</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1948</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1948</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1. Concluído</v>
      </c>
      <c r="H574" s="65">
        <f>VLOOKUP(A574,'Aux - pivots1'!$A:$B,2,0)</f>
        <v>1</v>
      </c>
      <c r="I574" s="181">
        <f>SUMIFS(Table1[Estimação (horas)],Table1[Tabela],Plano_V3!E574,Table1[Campo],Plano_V3!F574)</f>
        <v>0.1</v>
      </c>
      <c r="J574" s="181">
        <f t="shared" si="80"/>
        <v>1.2500000000000001E-2</v>
      </c>
      <c r="K574" s="181">
        <f>SUMIFS(Table1[Horas efetivas],Table1[Tabela],Plano_V3!E574,Table1[Campo],Plano_V3!F574)</f>
        <v>0.1</v>
      </c>
      <c r="L574" s="181">
        <f t="shared" si="81"/>
        <v>1.2500000000000001E-2</v>
      </c>
      <c r="M574" s="183"/>
      <c r="N574" s="183">
        <f t="shared" si="82"/>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1. Concluído</v>
      </c>
      <c r="H576" s="65">
        <f>VLOOKUP(A576,'Aux - pivots1'!$A:$B,2,0)</f>
        <v>1</v>
      </c>
      <c r="I576" s="181">
        <f>SUMIFS(Table1[Estimação (horas)],Table1[Tabela],Plano_V3!E576,Table1[Campo],Plano_V3!F576)</f>
        <v>0.1</v>
      </c>
      <c r="J576" s="181">
        <f t="shared" si="80"/>
        <v>1.2500000000000001E-2</v>
      </c>
      <c r="K576" s="181">
        <f>SUMIFS(Table1[Horas efetivas],Table1[Tabela],Plano_V3!E576,Table1[Campo],Plano_V3!F576)</f>
        <v>0.1</v>
      </c>
      <c r="L576" s="181">
        <f t="shared" si="81"/>
        <v>1.2500000000000001E-2</v>
      </c>
      <c r="M576" s="183"/>
      <c r="N576" s="183">
        <f t="shared" si="82"/>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1355</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1. Concluído</v>
      </c>
      <c r="H590" s="65">
        <f>VLOOKUP(A590,'Aux - pivots1'!$A:$B,2,0)</f>
        <v>1</v>
      </c>
      <c r="I590" s="181">
        <f>SUMIFS(Table1[Estimação (horas)],Table1[Tabela],Plano_V3!E590,Table1[Campo],Plano_V3!F590)</f>
        <v>4.0999999999999996</v>
      </c>
      <c r="J590" s="181">
        <f t="shared" ref="J590:J591" si="83">I590/8</f>
        <v>0.51249999999999996</v>
      </c>
      <c r="K590" s="181">
        <f>SUMIFS(Table1[Horas efetivas],Table1[Tabela],Plano_V3!E590,Table1[Campo],Plano_V3!F590)</f>
        <v>4.0999999999999996</v>
      </c>
      <c r="L590" s="181">
        <f t="shared" ref="L590:L591" si="84">K590/8</f>
        <v>0.51249999999999996</v>
      </c>
      <c r="M590" s="183"/>
      <c r="N590" s="183">
        <f t="shared" si="82"/>
        <v>1</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37.409375000000139</v>
      </c>
      <c r="L592" s="181">
        <f>K592/8</f>
        <v>4.6761718750000174</v>
      </c>
      <c r="M592" s="183"/>
      <c r="N592" s="183">
        <f t="shared" si="82"/>
        <v>0.93203052008719989</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0.89246452008338328</v>
      </c>
      <c r="O594" s="180">
        <f t="shared" ref="O594" si="85">N594-M594</f>
        <v>0.26985305511523039</v>
      </c>
      <c r="P594" s="182" t="s">
        <v>25</v>
      </c>
    </row>
    <row r="595" spans="2:51">
      <c r="O595"/>
    </row>
    <row r="596" spans="2:51"/>
  </sheetData>
  <conditionalFormatting sqref="O14:O17 O19:O22 O594">
    <cfRule type="cellIs" dxfId="267" priority="23" operator="lessThan">
      <formula>0</formula>
    </cfRule>
    <cfRule type="cellIs" dxfId="266" priority="24" operator="greaterThanOrEqual">
      <formula>0</formula>
    </cfRule>
  </conditionalFormatting>
  <conditionalFormatting sqref="O24:O592">
    <cfRule type="cellIs" dxfId="265" priority="1" operator="lessThan">
      <formula>0</formula>
    </cfRule>
    <cfRule type="cellIs" dxfId="264" priority="2" operator="greaterThanOrEqual">
      <formula>0</formula>
    </cfRule>
  </conditionalFormatting>
  <conditionalFormatting sqref="Q15:Q17">
    <cfRule type="cellIs" dxfId="263" priority="50" operator="notEqual">
      <formula>0</formula>
    </cfRule>
  </conditionalFormatting>
  <conditionalFormatting sqref="Q20:Q22">
    <cfRule type="cellIs" dxfId="262" priority="42" operator="notEqual">
      <formula>0</formula>
    </cfRule>
  </conditionalFormatting>
  <conditionalFormatting sqref="Q25:Q456">
    <cfRule type="cellIs" dxfId="261" priority="5" operator="notEqual">
      <formula>0</formula>
    </cfRule>
  </conditionalFormatting>
  <conditionalFormatting sqref="R5:R6 S6:ES6">
    <cfRule type="cellIs" dxfId="260" priority="51" operator="notEqual">
      <formula>0</formula>
    </cfRule>
  </conditionalFormatting>
  <conditionalFormatting sqref="R15:ES17 R20:ES22 R25:ES25">
    <cfRule type="cellIs" dxfId="259" priority="49" operator="greaterThan">
      <formula>0</formula>
    </cfRule>
  </conditionalFormatting>
  <conditionalFormatting sqref="R40:ES40">
    <cfRule type="cellIs" dxfId="258" priority="47" operator="greaterThan">
      <formula>0</formula>
    </cfRule>
  </conditionalFormatting>
  <conditionalFormatting sqref="R204:ES204">
    <cfRule type="cellIs" dxfId="257" priority="46" operator="greaterThan">
      <formula>0</formula>
    </cfRule>
  </conditionalFormatting>
  <conditionalFormatting sqref="R371:ES371">
    <cfRule type="cellIs" dxfId="256" priority="45" operator="greaterThan">
      <formula>0</formula>
    </cfRule>
  </conditionalFormatting>
  <conditionalFormatting sqref="R456:ES456">
    <cfRule type="cellIs" dxfId="255"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5</v>
      </c>
      <c r="C4" s="174">
        <v>45510</v>
      </c>
      <c r="D4" s="174">
        <v>45624</v>
      </c>
      <c r="E4" s="328"/>
    </row>
    <row r="5" spans="1:5">
      <c r="A5" t="s">
        <v>675</v>
      </c>
      <c r="B5" s="328">
        <v>5</v>
      </c>
      <c r="C5" s="174">
        <v>45510</v>
      </c>
      <c r="D5" s="174">
        <v>45624</v>
      </c>
      <c r="E5" s="328"/>
    </row>
    <row r="6" spans="1:5">
      <c r="A6" t="s">
        <v>676</v>
      </c>
      <c r="B6" s="328">
        <v>5</v>
      </c>
      <c r="C6" s="174">
        <v>45510</v>
      </c>
      <c r="D6" s="174">
        <v>45624</v>
      </c>
      <c r="E6" s="328"/>
    </row>
    <row r="7" spans="1:5">
      <c r="A7" t="s">
        <v>677</v>
      </c>
      <c r="B7" s="328">
        <v>5</v>
      </c>
      <c r="C7" s="174">
        <v>45510</v>
      </c>
      <c r="D7" s="174">
        <v>45624</v>
      </c>
      <c r="E7" s="328"/>
    </row>
    <row r="8" spans="1:5">
      <c r="A8" t="s">
        <v>678</v>
      </c>
      <c r="B8" s="328">
        <v>5</v>
      </c>
      <c r="C8" s="174">
        <v>45510</v>
      </c>
      <c r="D8" s="174">
        <v>45624</v>
      </c>
      <c r="E8" s="328"/>
    </row>
    <row r="9" spans="1:5">
      <c r="A9" t="s">
        <v>679</v>
      </c>
      <c r="B9" s="328">
        <v>5</v>
      </c>
      <c r="C9" s="174">
        <v>45510</v>
      </c>
      <c r="D9" s="174">
        <v>45624</v>
      </c>
      <c r="E9" s="328"/>
    </row>
    <row r="10" spans="1:5">
      <c r="A10" t="s">
        <v>680</v>
      </c>
      <c r="B10" s="328">
        <v>5</v>
      </c>
      <c r="C10" s="174">
        <v>45510</v>
      </c>
      <c r="D10" s="174">
        <v>45624</v>
      </c>
      <c r="E10" s="328"/>
    </row>
    <row r="11" spans="1:5">
      <c r="A11" t="s">
        <v>681</v>
      </c>
      <c r="B11" s="328">
        <v>5</v>
      </c>
      <c r="C11" s="174">
        <v>45510</v>
      </c>
      <c r="D11" s="174">
        <v>45624</v>
      </c>
      <c r="E11" s="328"/>
    </row>
    <row r="12" spans="1:5">
      <c r="A12" t="s">
        <v>682</v>
      </c>
      <c r="B12" s="328">
        <v>5</v>
      </c>
      <c r="C12" s="174">
        <v>45510</v>
      </c>
      <c r="D12" s="174">
        <v>45624</v>
      </c>
      <c r="E12" s="328"/>
    </row>
    <row r="13" spans="1:5">
      <c r="A13" t="s">
        <v>683</v>
      </c>
      <c r="B13" s="328">
        <v>5</v>
      </c>
      <c r="C13" s="174">
        <v>45510</v>
      </c>
      <c r="D13" s="174">
        <v>45624</v>
      </c>
      <c r="E13" s="328"/>
    </row>
    <row r="14" spans="1:5">
      <c r="A14" t="s">
        <v>684</v>
      </c>
      <c r="B14" s="328">
        <v>5</v>
      </c>
      <c r="C14" s="174">
        <v>45510</v>
      </c>
      <c r="D14" s="174">
        <v>45624</v>
      </c>
      <c r="E14" s="328"/>
    </row>
    <row r="15" spans="1:5">
      <c r="A15" t="s">
        <v>685</v>
      </c>
      <c r="B15" s="328">
        <v>5</v>
      </c>
      <c r="C15" s="174">
        <v>45510</v>
      </c>
      <c r="D15" s="174">
        <v>45624</v>
      </c>
      <c r="E15" s="328"/>
    </row>
    <row r="16" spans="1:5">
      <c r="A16" t="s">
        <v>686</v>
      </c>
      <c r="B16" s="328">
        <v>5</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2</v>
      </c>
      <c r="C36" s="328"/>
      <c r="D36" s="174">
        <v>45631</v>
      </c>
      <c r="E36" s="174">
        <v>45631</v>
      </c>
    </row>
    <row r="37" spans="1:5">
      <c r="A37" t="s">
        <v>707</v>
      </c>
      <c r="B37" s="328">
        <v>2</v>
      </c>
      <c r="C37" s="328"/>
      <c r="D37" s="174">
        <v>45631</v>
      </c>
      <c r="E37" s="174">
        <v>45631</v>
      </c>
    </row>
    <row r="38" spans="1:5">
      <c r="A38" t="s">
        <v>708</v>
      </c>
      <c r="B38" s="328">
        <v>2</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2</v>
      </c>
      <c r="C48" s="328"/>
      <c r="D48" s="174">
        <v>45621</v>
      </c>
      <c r="E48" s="174">
        <v>45596</v>
      </c>
    </row>
    <row r="49" spans="1:5">
      <c r="A49" t="s">
        <v>719</v>
      </c>
      <c r="B49" s="328">
        <v>2</v>
      </c>
      <c r="C49" s="328"/>
      <c r="D49" s="174">
        <v>45621</v>
      </c>
      <c r="E49" s="174">
        <v>45596</v>
      </c>
    </row>
    <row r="50" spans="1:5">
      <c r="A50" t="s">
        <v>720</v>
      </c>
      <c r="B50" s="328">
        <v>2</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2</v>
      </c>
      <c r="C68" s="174">
        <v>45589</v>
      </c>
      <c r="D68" s="328"/>
      <c r="E68" s="174">
        <v>45644</v>
      </c>
    </row>
    <row r="69" spans="1:5">
      <c r="A69" t="s">
        <v>739</v>
      </c>
      <c r="B69" s="328">
        <v>2</v>
      </c>
      <c r="C69" s="174">
        <v>45589</v>
      </c>
      <c r="D69" s="328"/>
      <c r="E69" s="174">
        <v>45644</v>
      </c>
    </row>
    <row r="70" spans="1:5">
      <c r="A70" t="s">
        <v>740</v>
      </c>
      <c r="B70" s="328">
        <v>2</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1</v>
      </c>
      <c r="C99" s="174">
        <v>45593</v>
      </c>
      <c r="D99" s="174">
        <v>45624</v>
      </c>
      <c r="E99" s="174">
        <v>45624</v>
      </c>
    </row>
    <row r="100" spans="1:5">
      <c r="A100" t="s">
        <v>770</v>
      </c>
      <c r="B100" s="328">
        <v>1</v>
      </c>
      <c r="C100" s="174">
        <v>45593</v>
      </c>
      <c r="D100" s="174">
        <v>45624</v>
      </c>
      <c r="E100" s="174">
        <v>45624</v>
      </c>
    </row>
    <row r="101" spans="1:5">
      <c r="A101" t="s">
        <v>771</v>
      </c>
      <c r="B101" s="328">
        <v>1</v>
      </c>
      <c r="C101" s="174">
        <v>45593</v>
      </c>
      <c r="D101" s="174">
        <v>45624</v>
      </c>
      <c r="E101" s="174">
        <v>45624</v>
      </c>
    </row>
    <row r="102" spans="1:5">
      <c r="A102" t="s">
        <v>772</v>
      </c>
      <c r="B102" s="328">
        <v>1</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6</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2</v>
      </c>
      <c r="C300" s="174">
        <v>45569</v>
      </c>
      <c r="D300" s="174">
        <v>45621</v>
      </c>
      <c r="E300" s="174">
        <v>45631</v>
      </c>
    </row>
    <row r="301" spans="1:5">
      <c r="A301" t="s">
        <v>952</v>
      </c>
      <c r="B301" s="328">
        <v>2</v>
      </c>
      <c r="C301" s="174">
        <v>45569</v>
      </c>
      <c r="D301" s="174">
        <v>45621</v>
      </c>
      <c r="E301" s="174">
        <v>45631</v>
      </c>
    </row>
    <row r="302" spans="1:5">
      <c r="A302" t="s">
        <v>953</v>
      </c>
      <c r="B302" s="328">
        <v>1</v>
      </c>
      <c r="C302" s="328"/>
      <c r="D302" s="328"/>
      <c r="E302" s="328"/>
    </row>
    <row r="303" spans="1:5">
      <c r="A303" t="s">
        <v>954</v>
      </c>
      <c r="B303" s="328">
        <v>2</v>
      </c>
      <c r="C303" s="174">
        <v>45569</v>
      </c>
      <c r="D303" s="174">
        <v>45621</v>
      </c>
      <c r="E303" s="174">
        <v>45631</v>
      </c>
    </row>
    <row r="304" spans="1:5">
      <c r="A304" t="s">
        <v>955</v>
      </c>
      <c r="B304" s="328">
        <v>2</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1</v>
      </c>
      <c r="C329" s="174">
        <v>45561</v>
      </c>
      <c r="D329" s="174">
        <v>45614</v>
      </c>
      <c r="E329" s="174">
        <v>45615</v>
      </c>
    </row>
    <row r="330" spans="1:5">
      <c r="A330" t="s">
        <v>981</v>
      </c>
      <c r="B330" s="328">
        <v>2</v>
      </c>
      <c r="C330" s="174">
        <v>45553</v>
      </c>
      <c r="D330" s="174">
        <v>45614</v>
      </c>
      <c r="E330" s="174">
        <v>45615</v>
      </c>
    </row>
    <row r="331" spans="1:5">
      <c r="A331" t="s">
        <v>982</v>
      </c>
      <c r="B331" s="328">
        <v>2</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2</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2</v>
      </c>
      <c r="C340" s="174">
        <v>45569</v>
      </c>
      <c r="D340" s="174">
        <v>45621</v>
      </c>
      <c r="E340" s="174">
        <v>45622</v>
      </c>
    </row>
    <row r="341" spans="1:5">
      <c r="A341" t="s">
        <v>992</v>
      </c>
      <c r="B341" s="328">
        <v>2</v>
      </c>
      <c r="C341" s="174">
        <v>45569</v>
      </c>
      <c r="D341" s="174">
        <v>45621</v>
      </c>
      <c r="E341" s="174">
        <v>45622</v>
      </c>
    </row>
    <row r="342" spans="1:5">
      <c r="A342" t="s">
        <v>993</v>
      </c>
      <c r="B342" s="328">
        <v>2</v>
      </c>
      <c r="C342" s="174">
        <v>45569</v>
      </c>
      <c r="D342" s="174">
        <v>45621</v>
      </c>
      <c r="E342" s="174">
        <v>45622</v>
      </c>
    </row>
    <row r="343" spans="1:5">
      <c r="A343" t="s">
        <v>994</v>
      </c>
      <c r="B343" s="328">
        <v>1</v>
      </c>
      <c r="C343" s="328"/>
      <c r="D343" s="328"/>
      <c r="E343" s="328"/>
    </row>
    <row r="344" spans="1:5">
      <c r="A344" t="s">
        <v>995</v>
      </c>
      <c r="B344" s="328">
        <v>2</v>
      </c>
      <c r="C344" s="174">
        <v>45569</v>
      </c>
      <c r="D344" s="174">
        <v>45621</v>
      </c>
      <c r="E344" s="174">
        <v>45622</v>
      </c>
    </row>
    <row r="345" spans="1:5">
      <c r="A345" t="s">
        <v>996</v>
      </c>
      <c r="B345" s="328">
        <v>2</v>
      </c>
      <c r="C345" s="174">
        <v>45569</v>
      </c>
      <c r="D345" s="174">
        <v>45621</v>
      </c>
      <c r="E345" s="174">
        <v>45622</v>
      </c>
    </row>
    <row r="346" spans="1:5">
      <c r="A346" t="s">
        <v>997</v>
      </c>
      <c r="B346" s="328">
        <v>2</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3</v>
      </c>
      <c r="C364" s="174">
        <v>45563</v>
      </c>
      <c r="D364" s="174">
        <v>45624</v>
      </c>
      <c r="E364" s="174">
        <v>45629</v>
      </c>
    </row>
    <row r="365" spans="1:5">
      <c r="A365" t="s">
        <v>1016</v>
      </c>
      <c r="B365" s="328">
        <v>3</v>
      </c>
      <c r="C365" s="174">
        <v>45563</v>
      </c>
      <c r="D365" s="174">
        <v>45624</v>
      </c>
      <c r="E365" s="174">
        <v>45629</v>
      </c>
    </row>
    <row r="366" spans="1:5">
      <c r="A366" t="s">
        <v>1017</v>
      </c>
      <c r="B366" s="328">
        <v>3</v>
      </c>
      <c r="C366" s="174">
        <v>45563</v>
      </c>
      <c r="D366" s="174">
        <v>45624</v>
      </c>
      <c r="E366" s="174">
        <v>45629</v>
      </c>
    </row>
    <row r="367" spans="1:5">
      <c r="A367" t="s">
        <v>1018</v>
      </c>
      <c r="B367" s="328">
        <v>3</v>
      </c>
      <c r="C367" s="174">
        <v>45563</v>
      </c>
      <c r="D367" s="174">
        <v>45624</v>
      </c>
      <c r="E367" s="174">
        <v>45629</v>
      </c>
    </row>
    <row r="368" spans="1:5">
      <c r="A368" t="s">
        <v>1019</v>
      </c>
      <c r="B368" s="328">
        <v>3</v>
      </c>
      <c r="C368" s="174">
        <v>45563</v>
      </c>
      <c r="D368" s="174">
        <v>45624</v>
      </c>
      <c r="E368" s="174">
        <v>45629</v>
      </c>
    </row>
    <row r="369" spans="1:5">
      <c r="A369" t="s">
        <v>1020</v>
      </c>
      <c r="B369" s="328">
        <v>3</v>
      </c>
      <c r="C369" s="174">
        <v>45563</v>
      </c>
      <c r="D369" s="174">
        <v>45624</v>
      </c>
      <c r="E369" s="174">
        <v>45629</v>
      </c>
    </row>
    <row r="370" spans="1:5">
      <c r="A370" t="s">
        <v>1021</v>
      </c>
      <c r="B370" s="328">
        <v>3</v>
      </c>
      <c r="C370" s="174">
        <v>45562</v>
      </c>
      <c r="D370" s="174">
        <v>45624</v>
      </c>
      <c r="E370" s="174">
        <v>45629</v>
      </c>
    </row>
    <row r="371" spans="1:5">
      <c r="A371" t="s">
        <v>1022</v>
      </c>
      <c r="B371" s="328">
        <v>3</v>
      </c>
      <c r="C371" s="174">
        <v>45563</v>
      </c>
      <c r="D371" s="174">
        <v>45624</v>
      </c>
      <c r="E371" s="174">
        <v>45629</v>
      </c>
    </row>
    <row r="372" spans="1:5">
      <c r="A372" t="s">
        <v>1023</v>
      </c>
      <c r="B372" s="328">
        <v>3</v>
      </c>
      <c r="C372" s="174">
        <v>45563</v>
      </c>
      <c r="D372" s="174">
        <v>45624</v>
      </c>
      <c r="E372" s="174">
        <v>45629</v>
      </c>
    </row>
    <row r="373" spans="1:5">
      <c r="A373" t="s">
        <v>1024</v>
      </c>
      <c r="B373" s="328">
        <v>3</v>
      </c>
      <c r="C373" s="174">
        <v>45563</v>
      </c>
      <c r="D373" s="174">
        <v>45624</v>
      </c>
      <c r="E373" s="174">
        <v>45629</v>
      </c>
    </row>
    <row r="374" spans="1:5">
      <c r="A374" t="s">
        <v>1025</v>
      </c>
      <c r="B374" s="328">
        <v>3</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3</v>
      </c>
      <c r="C377" s="174">
        <v>45561</v>
      </c>
      <c r="D377" s="174">
        <v>45624</v>
      </c>
      <c r="E377" s="174">
        <v>45629</v>
      </c>
    </row>
    <row r="378" spans="1:5">
      <c r="A378" t="s">
        <v>1029</v>
      </c>
      <c r="B378" s="328">
        <v>3</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1</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1106</v>
      </c>
      <c r="B455" s="328">
        <v>1</v>
      </c>
      <c r="C455" s="328"/>
      <c r="D455" s="328"/>
      <c r="E455" s="328"/>
    </row>
    <row r="456" spans="1:5">
      <c r="A456" t="s">
        <v>1107</v>
      </c>
      <c r="B456" s="328">
        <v>1</v>
      </c>
      <c r="C456" s="328"/>
      <c r="D456" s="328"/>
      <c r="E456" s="174">
        <v>45639</v>
      </c>
    </row>
    <row r="457" spans="1:5">
      <c r="A457" t="s">
        <v>1108</v>
      </c>
      <c r="B457" s="328">
        <v>1</v>
      </c>
      <c r="C457" s="328"/>
      <c r="D457" s="328"/>
      <c r="E457" s="328"/>
    </row>
    <row r="458" spans="1:5">
      <c r="A458" t="s">
        <v>1109</v>
      </c>
      <c r="B458" s="328">
        <v>1</v>
      </c>
      <c r="C458" s="328"/>
      <c r="D458" s="328"/>
      <c r="E458" s="328"/>
    </row>
    <row r="459" spans="1:5">
      <c r="A459" t="s">
        <v>1110</v>
      </c>
      <c r="B459" s="328">
        <v>1</v>
      </c>
      <c r="C459" s="328"/>
      <c r="D459" s="328"/>
      <c r="E459" s="328"/>
    </row>
    <row r="460" spans="1:5">
      <c r="A460" t="s">
        <v>1111</v>
      </c>
      <c r="B460" s="328">
        <v>1</v>
      </c>
      <c r="C460" s="328"/>
      <c r="D460" s="328"/>
      <c r="E460" s="174">
        <v>45639</v>
      </c>
    </row>
    <row r="461" spans="1:5">
      <c r="A461" t="s">
        <v>1112</v>
      </c>
      <c r="B461" s="328">
        <v>1</v>
      </c>
      <c r="C461" s="328"/>
      <c r="D461" s="328"/>
      <c r="E461" s="328"/>
    </row>
    <row r="462" spans="1:5">
      <c r="A462" t="s">
        <v>1113</v>
      </c>
      <c r="B462" s="328">
        <v>1</v>
      </c>
      <c r="C462" s="328"/>
      <c r="D462" s="328"/>
      <c r="E462" s="328"/>
    </row>
    <row r="463" spans="1:5">
      <c r="A463" t="s">
        <v>1114</v>
      </c>
      <c r="B463" s="328">
        <v>1</v>
      </c>
      <c r="C463" s="328"/>
      <c r="D463" s="328"/>
      <c r="E463" s="328"/>
    </row>
    <row r="464" spans="1:5">
      <c r="A464" t="s">
        <v>1115</v>
      </c>
      <c r="B464" s="328">
        <v>1</v>
      </c>
      <c r="C464" s="328"/>
      <c r="D464" s="328"/>
      <c r="E464" s="174">
        <v>45639</v>
      </c>
    </row>
    <row r="465" spans="1:5">
      <c r="A465" t="s">
        <v>1116</v>
      </c>
      <c r="B465" s="328">
        <v>1</v>
      </c>
      <c r="C465" s="328"/>
      <c r="D465" s="328"/>
      <c r="E465" s="174">
        <v>45639</v>
      </c>
    </row>
    <row r="466" spans="1:5">
      <c r="A466" t="s">
        <v>1117</v>
      </c>
      <c r="B466" s="328">
        <v>1</v>
      </c>
      <c r="C466" s="328"/>
      <c r="D466" s="328"/>
      <c r="E466" s="328"/>
    </row>
    <row r="467" spans="1:5">
      <c r="A467" t="s">
        <v>1118</v>
      </c>
      <c r="B467" s="328">
        <v>1</v>
      </c>
      <c r="C467" s="328"/>
      <c r="D467" s="328"/>
      <c r="E467" s="174">
        <v>45639</v>
      </c>
    </row>
    <row r="468" spans="1:5">
      <c r="A468" t="s">
        <v>1119</v>
      </c>
      <c r="B468" s="328">
        <v>1</v>
      </c>
      <c r="C468" s="328"/>
      <c r="D468" s="328"/>
      <c r="E468" s="174">
        <v>45639</v>
      </c>
    </row>
    <row r="469" spans="1:5">
      <c r="A469" t="s">
        <v>1120</v>
      </c>
      <c r="B469" s="328">
        <v>1</v>
      </c>
      <c r="C469" s="328"/>
      <c r="D469" s="328"/>
      <c r="E469" s="174">
        <v>45639</v>
      </c>
    </row>
    <row r="470" spans="1:5">
      <c r="A470" t="s">
        <v>1121</v>
      </c>
      <c r="B470" s="328">
        <v>1</v>
      </c>
      <c r="C470" s="328"/>
      <c r="D470" s="328"/>
      <c r="E470" s="174">
        <v>45639</v>
      </c>
    </row>
    <row r="471" spans="1:5">
      <c r="A471" t="s">
        <v>1122</v>
      </c>
      <c r="B471" s="328">
        <v>1</v>
      </c>
      <c r="C471" s="328"/>
      <c r="D471" s="328"/>
      <c r="E471" s="328"/>
    </row>
    <row r="472" spans="1:5">
      <c r="A472" t="s">
        <v>1123</v>
      </c>
      <c r="B472" s="328">
        <v>1</v>
      </c>
      <c r="C472" s="328"/>
      <c r="D472" s="328"/>
      <c r="E472" s="328"/>
    </row>
    <row r="473" spans="1:5">
      <c r="A473" t="s">
        <v>1124</v>
      </c>
      <c r="B473" s="328">
        <v>1</v>
      </c>
      <c r="C473" s="328"/>
      <c r="D473" s="328"/>
      <c r="E473" s="174">
        <v>45639</v>
      </c>
    </row>
    <row r="474" spans="1:5">
      <c r="A474" t="s">
        <v>1125</v>
      </c>
      <c r="B474" s="328">
        <v>1</v>
      </c>
      <c r="C474" s="328"/>
      <c r="D474" s="328"/>
      <c r="E474" s="174">
        <v>45639</v>
      </c>
    </row>
    <row r="475" spans="1:5">
      <c r="A475" t="s">
        <v>1126</v>
      </c>
      <c r="B475" s="328">
        <v>1</v>
      </c>
      <c r="C475" s="328"/>
      <c r="D475" s="328"/>
      <c r="E475" s="328"/>
    </row>
    <row r="476" spans="1:5">
      <c r="A476" t="s">
        <v>1127</v>
      </c>
      <c r="B476" s="328">
        <v>1</v>
      </c>
      <c r="C476" s="328"/>
      <c r="D476" s="328"/>
      <c r="E476" s="174">
        <v>45639</v>
      </c>
    </row>
    <row r="477" spans="1:5">
      <c r="A477" t="s">
        <v>1128</v>
      </c>
      <c r="B477" s="328">
        <v>1</v>
      </c>
      <c r="C477" s="328"/>
      <c r="D477" s="328"/>
      <c r="E477" s="174">
        <v>45639</v>
      </c>
    </row>
    <row r="478" spans="1:5">
      <c r="A478" t="s">
        <v>1129</v>
      </c>
      <c r="B478" s="328">
        <v>1</v>
      </c>
      <c r="C478" s="328"/>
      <c r="D478" s="328"/>
      <c r="E478" s="328"/>
    </row>
    <row r="479" spans="1:5">
      <c r="A479" t="s">
        <v>1130</v>
      </c>
      <c r="B479" s="328">
        <v>1</v>
      </c>
      <c r="C479" s="328"/>
      <c r="D479" s="328"/>
      <c r="E479" s="328"/>
    </row>
    <row r="480" spans="1:5">
      <c r="A480" t="s">
        <v>1131</v>
      </c>
      <c r="B480" s="328">
        <v>1</v>
      </c>
      <c r="C480" s="328"/>
      <c r="D480" s="328"/>
      <c r="E480" s="328"/>
    </row>
    <row r="481" spans="1:5">
      <c r="A481" t="s">
        <v>1132</v>
      </c>
      <c r="B481" s="328">
        <v>1</v>
      </c>
      <c r="C481" s="328"/>
      <c r="D481" s="328"/>
      <c r="E481" s="328"/>
    </row>
    <row r="482" spans="1:5">
      <c r="A482" t="s">
        <v>1133</v>
      </c>
      <c r="B482" s="328">
        <v>1</v>
      </c>
      <c r="C482" s="328"/>
      <c r="D482" s="328"/>
      <c r="E482" s="328"/>
    </row>
    <row r="483" spans="1:5">
      <c r="A483" t="s">
        <v>1134</v>
      </c>
      <c r="B483" s="328">
        <v>1</v>
      </c>
      <c r="C483" s="328"/>
      <c r="D483" s="328"/>
      <c r="E483" s="328"/>
    </row>
    <row r="484" spans="1:5">
      <c r="A484" t="s">
        <v>1135</v>
      </c>
      <c r="B484" s="328">
        <v>1</v>
      </c>
      <c r="C484" s="328"/>
      <c r="D484" s="328"/>
      <c r="E484" s="328"/>
    </row>
    <row r="485" spans="1:5">
      <c r="A485" t="s">
        <v>1136</v>
      </c>
      <c r="B485" s="328">
        <v>1</v>
      </c>
      <c r="C485" s="328"/>
      <c r="D485" s="328"/>
      <c r="E485" s="328"/>
    </row>
    <row r="486" spans="1:5">
      <c r="A486" t="s">
        <v>1137</v>
      </c>
      <c r="B486" s="328">
        <v>1</v>
      </c>
      <c r="C486" s="328"/>
      <c r="D486" s="328"/>
      <c r="E486" s="328"/>
    </row>
    <row r="487" spans="1:5">
      <c r="A487" t="s">
        <v>1138</v>
      </c>
      <c r="B487" s="328">
        <v>1</v>
      </c>
      <c r="C487" s="328"/>
      <c r="D487" s="328"/>
      <c r="E487" s="328"/>
    </row>
    <row r="488" spans="1:5">
      <c r="A488" t="s">
        <v>1139</v>
      </c>
      <c r="B488" s="328">
        <v>1</v>
      </c>
      <c r="C488" s="328"/>
      <c r="D488" s="328"/>
      <c r="E488" s="174">
        <v>45639</v>
      </c>
    </row>
    <row r="489" spans="1:5">
      <c r="A489" t="s">
        <v>1140</v>
      </c>
      <c r="B489" s="328">
        <v>1</v>
      </c>
      <c r="C489" s="328"/>
      <c r="D489" s="328"/>
      <c r="E489" s="328"/>
    </row>
    <row r="490" spans="1:5">
      <c r="A490" t="s">
        <v>1141</v>
      </c>
      <c r="B490" s="328">
        <v>1</v>
      </c>
      <c r="C490" s="328"/>
      <c r="D490" s="328"/>
      <c r="E490" s="328"/>
    </row>
    <row r="491" spans="1:5">
      <c r="A491" t="s">
        <v>1142</v>
      </c>
      <c r="B491" s="328">
        <v>1</v>
      </c>
      <c r="C491" s="328"/>
      <c r="D491" s="328"/>
      <c r="E491" s="328"/>
    </row>
    <row r="492" spans="1:5">
      <c r="A492" t="s">
        <v>1143</v>
      </c>
      <c r="B492" s="328">
        <v>1</v>
      </c>
      <c r="C492" s="328"/>
      <c r="D492" s="328"/>
      <c r="E492" s="174">
        <v>45639</v>
      </c>
    </row>
    <row r="493" spans="1:5">
      <c r="A493" t="s">
        <v>1144</v>
      </c>
      <c r="B493" s="328">
        <v>1</v>
      </c>
      <c r="C493" s="328"/>
      <c r="D493" s="328"/>
      <c r="E493" s="174">
        <v>45639</v>
      </c>
    </row>
    <row r="494" spans="1:5">
      <c r="A494" t="s">
        <v>1145</v>
      </c>
      <c r="B494" s="328">
        <v>1</v>
      </c>
      <c r="C494" s="328"/>
      <c r="D494" s="328"/>
      <c r="E494" s="328"/>
    </row>
    <row r="495" spans="1:5">
      <c r="A495" t="s">
        <v>1146</v>
      </c>
      <c r="B495" s="328">
        <v>1</v>
      </c>
      <c r="C495" s="328"/>
      <c r="D495" s="328"/>
      <c r="E495" s="328"/>
    </row>
    <row r="496" spans="1:5">
      <c r="A496" t="s">
        <v>1147</v>
      </c>
      <c r="B496" s="328">
        <v>1</v>
      </c>
      <c r="C496" s="328"/>
      <c r="D496" s="328"/>
      <c r="E496" s="328"/>
    </row>
    <row r="497" spans="1:5">
      <c r="A497" t="s">
        <v>1148</v>
      </c>
      <c r="B497" s="328">
        <v>1</v>
      </c>
      <c r="C497" s="328"/>
      <c r="D497" s="328"/>
      <c r="E497" s="328"/>
    </row>
    <row r="498" spans="1:5">
      <c r="A498" t="s">
        <v>1149</v>
      </c>
      <c r="B498" s="328">
        <v>1</v>
      </c>
      <c r="C498" s="328"/>
      <c r="D498" s="328"/>
      <c r="E498" s="174">
        <v>45639</v>
      </c>
    </row>
    <row r="499" spans="1:5">
      <c r="A499" t="s">
        <v>1150</v>
      </c>
      <c r="B499" s="328">
        <v>1</v>
      </c>
      <c r="C499" s="328"/>
      <c r="D499" s="328"/>
      <c r="E499" s="328"/>
    </row>
    <row r="500" spans="1:5">
      <c r="A500" t="s">
        <v>1151</v>
      </c>
      <c r="B500" s="328">
        <v>1</v>
      </c>
      <c r="C500" s="328"/>
      <c r="D500" s="328"/>
      <c r="E500" s="328"/>
    </row>
    <row r="501" spans="1:5">
      <c r="A501" t="s">
        <v>1152</v>
      </c>
      <c r="B501" s="328">
        <v>1</v>
      </c>
      <c r="C501" s="328"/>
      <c r="D501" s="328"/>
      <c r="E501" s="328"/>
    </row>
    <row r="502" spans="1:5">
      <c r="A502" t="s">
        <v>1153</v>
      </c>
      <c r="B502" s="328">
        <v>1</v>
      </c>
      <c r="C502" s="328"/>
      <c r="D502" s="328"/>
      <c r="E502" s="174">
        <v>45639</v>
      </c>
    </row>
    <row r="503" spans="1:5">
      <c r="A503" t="s">
        <v>1154</v>
      </c>
      <c r="B503" s="328">
        <v>1</v>
      </c>
      <c r="C503" s="328"/>
      <c r="D503" s="328"/>
      <c r="E503" s="328"/>
    </row>
    <row r="504" spans="1:5">
      <c r="A504" t="s">
        <v>1155</v>
      </c>
      <c r="B504" s="328">
        <v>1</v>
      </c>
      <c r="C504" s="328"/>
      <c r="D504" s="328"/>
      <c r="E504" s="328"/>
    </row>
    <row r="505" spans="1:5">
      <c r="A505" t="s">
        <v>1156</v>
      </c>
      <c r="B505" s="328">
        <v>1</v>
      </c>
      <c r="C505" s="328"/>
      <c r="D505" s="328"/>
      <c r="E505" s="328"/>
    </row>
    <row r="506" spans="1:5">
      <c r="A506" t="s">
        <v>1157</v>
      </c>
      <c r="B506" s="328">
        <v>1</v>
      </c>
      <c r="C506" s="328"/>
      <c r="D506" s="328"/>
      <c r="E506" s="328"/>
    </row>
    <row r="507" spans="1:5">
      <c r="A507" t="s">
        <v>1158</v>
      </c>
      <c r="B507" s="328">
        <v>1</v>
      </c>
      <c r="C507" s="328"/>
      <c r="D507" s="328"/>
      <c r="E507" s="328"/>
    </row>
    <row r="508" spans="1:5">
      <c r="A508" t="s">
        <v>1159</v>
      </c>
      <c r="B508" s="328">
        <v>1</v>
      </c>
      <c r="C508" s="328"/>
      <c r="D508" s="328"/>
      <c r="E508" s="328"/>
    </row>
    <row r="509" spans="1:5">
      <c r="A509" t="s">
        <v>1160</v>
      </c>
      <c r="B509" s="328">
        <v>1</v>
      </c>
      <c r="C509" s="328"/>
      <c r="D509" s="328"/>
      <c r="E509" s="328"/>
    </row>
    <row r="510" spans="1:5">
      <c r="A510" t="s">
        <v>1161</v>
      </c>
      <c r="B510" s="328">
        <v>1</v>
      </c>
      <c r="C510" s="328"/>
      <c r="D510" s="328"/>
      <c r="E510" s="328"/>
    </row>
    <row r="511" spans="1:5">
      <c r="A511" t="s">
        <v>1162</v>
      </c>
      <c r="B511" s="328">
        <v>1</v>
      </c>
      <c r="C511" s="328"/>
      <c r="D511" s="328"/>
      <c r="E511" s="328"/>
    </row>
    <row r="512" spans="1:5">
      <c r="A512" t="s">
        <v>1163</v>
      </c>
      <c r="B512" s="328">
        <v>1</v>
      </c>
      <c r="C512" s="328"/>
      <c r="D512" s="328"/>
      <c r="E512" s="328"/>
    </row>
    <row r="513" spans="1:5">
      <c r="A513" t="s">
        <v>1164</v>
      </c>
      <c r="B513" s="328">
        <v>1</v>
      </c>
      <c r="C513" s="328"/>
      <c r="D513" s="328"/>
      <c r="E513" s="328"/>
    </row>
    <row r="514" spans="1:5">
      <c r="A514" t="s">
        <v>1165</v>
      </c>
      <c r="B514" s="328">
        <v>1</v>
      </c>
      <c r="C514" s="328"/>
      <c r="D514" s="328"/>
      <c r="E514" s="328"/>
    </row>
    <row r="515" spans="1:5">
      <c r="A515" t="s">
        <v>1166</v>
      </c>
      <c r="B515" s="328">
        <v>1</v>
      </c>
      <c r="C515" s="328"/>
      <c r="D515" s="328"/>
      <c r="E515" s="328"/>
    </row>
    <row r="516" spans="1:5">
      <c r="A516" t="s">
        <v>1167</v>
      </c>
      <c r="B516" s="328">
        <v>1</v>
      </c>
      <c r="C516" s="328"/>
      <c r="D516" s="328"/>
      <c r="E516" s="328"/>
    </row>
    <row r="517" spans="1:5">
      <c r="A517" t="s">
        <v>1168</v>
      </c>
      <c r="B517" s="328">
        <v>1</v>
      </c>
      <c r="C517" s="328"/>
      <c r="D517" s="328"/>
      <c r="E517" s="328"/>
    </row>
    <row r="518" spans="1:5">
      <c r="A518" t="s">
        <v>1169</v>
      </c>
      <c r="B518" s="328">
        <v>1</v>
      </c>
      <c r="C518" s="328"/>
      <c r="D518" s="328"/>
      <c r="E518" s="328"/>
    </row>
    <row r="519" spans="1:5">
      <c r="A519" t="s">
        <v>1170</v>
      </c>
      <c r="B519" s="328">
        <v>1</v>
      </c>
      <c r="C519" s="328"/>
      <c r="D519" s="328"/>
      <c r="E519" s="328"/>
    </row>
    <row r="520" spans="1:5">
      <c r="A520" t="s">
        <v>1171</v>
      </c>
      <c r="B520" s="328">
        <v>1</v>
      </c>
      <c r="C520" s="328"/>
      <c r="D520" s="328"/>
      <c r="E520" s="328"/>
    </row>
    <row r="521" spans="1:5">
      <c r="A521" t="s">
        <v>1937</v>
      </c>
      <c r="B521" s="328">
        <v>1</v>
      </c>
      <c r="C521" s="328"/>
      <c r="D521" s="328"/>
      <c r="E521" s="174">
        <v>45645</v>
      </c>
    </row>
    <row r="522" spans="1:5">
      <c r="A522" t="s">
        <v>1172</v>
      </c>
      <c r="B522" s="328">
        <v>0</v>
      </c>
      <c r="C522" s="328"/>
      <c r="D522" s="328"/>
      <c r="E522" s="328"/>
    </row>
    <row r="523" spans="1:5">
      <c r="A523" t="s">
        <v>1173</v>
      </c>
      <c r="B523" s="328">
        <v>1</v>
      </c>
      <c r="C523" s="328"/>
      <c r="D523" s="328"/>
      <c r="E523" s="328"/>
    </row>
    <row r="524" spans="1:5">
      <c r="A524" t="s">
        <v>1174</v>
      </c>
      <c r="B524" s="328">
        <v>1</v>
      </c>
      <c r="C524" s="328"/>
      <c r="D524" s="328"/>
      <c r="E524" s="328"/>
    </row>
    <row r="525" spans="1:5">
      <c r="A525" t="s">
        <v>1175</v>
      </c>
      <c r="B525" s="328">
        <v>1</v>
      </c>
      <c r="C525" s="174">
        <v>45491</v>
      </c>
      <c r="D525" s="174">
        <v>45495</v>
      </c>
      <c r="E525" s="174">
        <v>45495</v>
      </c>
    </row>
    <row r="526" spans="1:5">
      <c r="A526" t="s">
        <v>1176</v>
      </c>
      <c r="B526" s="328">
        <v>1</v>
      </c>
      <c r="C526" s="328"/>
      <c r="D526" s="328"/>
      <c r="E526" s="328"/>
    </row>
    <row r="527" spans="1:5">
      <c r="A527" t="s">
        <v>1177</v>
      </c>
      <c r="B527" s="328">
        <v>1</v>
      </c>
      <c r="C527" s="328"/>
      <c r="D527" s="328"/>
      <c r="E527" s="328"/>
    </row>
    <row r="528" spans="1:5">
      <c r="A528" t="s">
        <v>1178</v>
      </c>
      <c r="B528" s="328">
        <v>1</v>
      </c>
      <c r="C528" s="174">
        <v>45491</v>
      </c>
      <c r="D528" s="174">
        <v>45495</v>
      </c>
      <c r="E528" s="174">
        <v>45495</v>
      </c>
    </row>
    <row r="529" spans="1:5">
      <c r="A529" t="s">
        <v>1179</v>
      </c>
      <c r="B529" s="328">
        <v>1</v>
      </c>
      <c r="C529" s="328"/>
      <c r="D529" s="328"/>
      <c r="E529" s="328"/>
    </row>
    <row r="530" spans="1:5">
      <c r="A530" t="s">
        <v>1180</v>
      </c>
      <c r="B530" s="328">
        <v>1</v>
      </c>
      <c r="C530" s="328"/>
      <c r="D530" s="328"/>
      <c r="E530" s="328"/>
    </row>
    <row r="531" spans="1:5">
      <c r="A531" t="s">
        <v>1181</v>
      </c>
      <c r="B531" s="328">
        <v>1</v>
      </c>
      <c r="C531" s="328"/>
      <c r="D531" s="328"/>
      <c r="E531" s="328"/>
    </row>
    <row r="532" spans="1:5">
      <c r="A532" t="s">
        <v>1182</v>
      </c>
      <c r="B532" s="328">
        <v>1</v>
      </c>
      <c r="C532" s="328"/>
      <c r="D532" s="328"/>
      <c r="E532" s="328"/>
    </row>
    <row r="533" spans="1:5">
      <c r="A533" t="s">
        <v>1183</v>
      </c>
      <c r="B533" s="328">
        <v>1</v>
      </c>
      <c r="C533" s="328"/>
      <c r="D533" s="328"/>
      <c r="E533" s="328"/>
    </row>
    <row r="534" spans="1:5">
      <c r="A534" t="s">
        <v>1184</v>
      </c>
      <c r="B534" s="328">
        <v>1</v>
      </c>
      <c r="C534" s="328"/>
      <c r="D534" s="328"/>
      <c r="E534" s="328"/>
    </row>
    <row r="535" spans="1:5">
      <c r="A535" t="s">
        <v>1185</v>
      </c>
      <c r="B535" s="328">
        <v>1</v>
      </c>
      <c r="C535" s="328"/>
      <c r="D535" s="328"/>
      <c r="E535" s="328"/>
    </row>
    <row r="536" spans="1:5">
      <c r="A536" t="s">
        <v>1186</v>
      </c>
      <c r="B536" s="328">
        <v>1</v>
      </c>
      <c r="C536" s="328"/>
      <c r="D536" s="328"/>
      <c r="E536" s="328"/>
    </row>
    <row r="537" spans="1:5">
      <c r="A537" t="s">
        <v>1187</v>
      </c>
      <c r="B537" s="328">
        <v>1</v>
      </c>
      <c r="C537" s="328"/>
      <c r="D537" s="328"/>
      <c r="E537" s="328"/>
    </row>
    <row r="538" spans="1:5">
      <c r="A538" t="s">
        <v>1188</v>
      </c>
      <c r="B538" s="328">
        <v>0</v>
      </c>
      <c r="C538" s="328"/>
      <c r="D538" s="328"/>
      <c r="E538" s="328"/>
    </row>
    <row r="539" spans="1:5">
      <c r="A539" t="s">
        <v>1189</v>
      </c>
      <c r="B539" s="328">
        <v>1</v>
      </c>
      <c r="C539" s="328"/>
      <c r="D539" s="328"/>
      <c r="E539" s="328"/>
    </row>
    <row r="540" spans="1:5">
      <c r="A540" t="s">
        <v>1190</v>
      </c>
      <c r="B540" s="328">
        <v>1</v>
      </c>
      <c r="C540" s="328"/>
      <c r="D540" s="328"/>
      <c r="E540" s="328"/>
    </row>
    <row r="541" spans="1:5">
      <c r="A541" t="s">
        <v>1191</v>
      </c>
      <c r="B541" s="328">
        <v>1</v>
      </c>
      <c r="C541" s="328"/>
      <c r="D541" s="328"/>
      <c r="E541" s="328"/>
    </row>
    <row r="542" spans="1:5">
      <c r="A542" t="s">
        <v>1192</v>
      </c>
      <c r="B542" s="328">
        <v>1</v>
      </c>
      <c r="C542" s="328"/>
      <c r="D542" s="328"/>
      <c r="E542" s="328"/>
    </row>
    <row r="543" spans="1:5">
      <c r="A543" t="s">
        <v>1193</v>
      </c>
      <c r="B543" s="328">
        <v>1</v>
      </c>
      <c r="C543" s="328"/>
      <c r="D543" s="328"/>
      <c r="E543" s="328"/>
    </row>
    <row r="544" spans="1:5">
      <c r="A544" t="s">
        <v>1194</v>
      </c>
      <c r="B544" s="328">
        <v>1</v>
      </c>
      <c r="C544" s="328"/>
      <c r="D544" s="328"/>
      <c r="E544" s="328"/>
    </row>
    <row r="545" spans="1:5">
      <c r="A545" t="s">
        <v>1195</v>
      </c>
      <c r="B545" s="328">
        <v>1</v>
      </c>
      <c r="C545" s="328"/>
      <c r="D545" s="328"/>
      <c r="E545" s="328"/>
    </row>
    <row r="546" spans="1:5">
      <c r="A546" t="s">
        <v>1196</v>
      </c>
      <c r="B546" s="328">
        <v>1</v>
      </c>
      <c r="C546" s="328"/>
      <c r="D546" s="328"/>
      <c r="E546" s="328"/>
    </row>
    <row r="547" spans="1:5">
      <c r="A547" t="s">
        <v>1197</v>
      </c>
      <c r="B547" s="328">
        <v>1</v>
      </c>
      <c r="C547" s="328"/>
      <c r="D547" s="328"/>
      <c r="E547" s="328"/>
    </row>
    <row r="548" spans="1:5">
      <c r="A548" t="s">
        <v>1198</v>
      </c>
      <c r="B548" s="328">
        <v>1</v>
      </c>
      <c r="C548" s="328"/>
      <c r="D548" s="328"/>
      <c r="E548" s="328"/>
    </row>
    <row r="549" spans="1:5">
      <c r="A549" t="s">
        <v>1199</v>
      </c>
      <c r="B549" s="328">
        <v>1</v>
      </c>
      <c r="C549" s="328"/>
      <c r="D549" s="328"/>
      <c r="E549" s="328"/>
    </row>
    <row r="550" spans="1:5">
      <c r="A550" t="s">
        <v>1200</v>
      </c>
      <c r="B550" s="328">
        <v>1</v>
      </c>
      <c r="C550" s="328"/>
      <c r="D550" s="328"/>
      <c r="E550" s="328"/>
    </row>
    <row r="551" spans="1:5">
      <c r="A551" t="s">
        <v>1201</v>
      </c>
      <c r="B551" s="328">
        <v>1</v>
      </c>
      <c r="C551" s="328"/>
      <c r="D551" s="328"/>
      <c r="E551" s="328"/>
    </row>
    <row r="552" spans="1:5">
      <c r="A552" t="s">
        <v>1202</v>
      </c>
      <c r="B552" s="328">
        <v>1</v>
      </c>
      <c r="C552" s="328"/>
      <c r="D552" s="328"/>
      <c r="E552" s="328"/>
    </row>
    <row r="553" spans="1:5">
      <c r="A553" t="s">
        <v>1203</v>
      </c>
      <c r="B553" s="328">
        <v>0</v>
      </c>
      <c r="C553" s="328"/>
      <c r="D553" s="328"/>
      <c r="E553" s="328"/>
    </row>
    <row r="554" spans="1:5">
      <c r="A554" t="s">
        <v>1204</v>
      </c>
      <c r="B554" s="328">
        <v>1</v>
      </c>
      <c r="C554" s="328"/>
      <c r="D554" s="328"/>
      <c r="E554" s="328"/>
    </row>
    <row r="555" spans="1:5">
      <c r="A555" t="s">
        <v>1205</v>
      </c>
      <c r="B555" s="328">
        <v>1</v>
      </c>
      <c r="C555" s="328"/>
      <c r="D555" s="328"/>
      <c r="E555" s="328"/>
    </row>
    <row r="556" spans="1:5">
      <c r="A556" t="s">
        <v>1206</v>
      </c>
      <c r="B556" s="328">
        <v>1</v>
      </c>
      <c r="C556" s="328"/>
      <c r="D556" s="328"/>
      <c r="E556" s="328"/>
    </row>
    <row r="557" spans="1:5">
      <c r="A557" t="s">
        <v>1207</v>
      </c>
      <c r="B557" s="328">
        <v>0</v>
      </c>
      <c r="C557" s="328"/>
      <c r="D557" s="328"/>
      <c r="E557" s="328"/>
    </row>
    <row r="558" spans="1:5">
      <c r="A558" t="s">
        <v>1208</v>
      </c>
      <c r="B558" s="328">
        <v>1</v>
      </c>
      <c r="C558" s="328"/>
      <c r="D558" s="328"/>
      <c r="E558" s="328"/>
    </row>
    <row r="559" spans="1:5">
      <c r="A559" t="s">
        <v>1209</v>
      </c>
      <c r="B559" s="328">
        <v>1</v>
      </c>
      <c r="C559" s="328"/>
      <c r="D559" s="328"/>
      <c r="E559" s="328"/>
    </row>
    <row r="560" spans="1:5">
      <c r="A560" t="s">
        <v>1210</v>
      </c>
      <c r="B560" s="328">
        <v>0</v>
      </c>
      <c r="C560" s="328"/>
      <c r="D560" s="328"/>
      <c r="E560" s="328"/>
    </row>
    <row r="561" spans="1:5">
      <c r="A561" t="s">
        <v>1211</v>
      </c>
      <c r="B561" s="328">
        <v>1</v>
      </c>
      <c r="C561" s="328"/>
      <c r="D561" s="328"/>
      <c r="E561" s="328"/>
    </row>
    <row r="562" spans="1:5">
      <c r="A562" t="s">
        <v>1212</v>
      </c>
      <c r="B562" s="328">
        <v>1</v>
      </c>
      <c r="C562" s="328"/>
      <c r="D562" s="328"/>
      <c r="E562" s="328"/>
    </row>
    <row r="563" spans="1:5">
      <c r="A563" t="s">
        <v>1213</v>
      </c>
      <c r="B563" s="328">
        <v>1</v>
      </c>
      <c r="C563" s="328"/>
      <c r="D563" s="328"/>
      <c r="E563" s="328"/>
    </row>
    <row r="564" spans="1:5">
      <c r="A564" t="s">
        <v>1214</v>
      </c>
      <c r="B564" s="328">
        <v>1</v>
      </c>
      <c r="C564" s="328"/>
      <c r="D564" s="328"/>
      <c r="E564" s="328"/>
    </row>
    <row r="565" spans="1:5">
      <c r="A565" t="s">
        <v>1215</v>
      </c>
      <c r="B565" s="328">
        <v>1</v>
      </c>
      <c r="C565" s="328"/>
      <c r="D565" s="328"/>
      <c r="E565" s="328"/>
    </row>
    <row r="566" spans="1:5">
      <c r="A566" t="s">
        <v>1216</v>
      </c>
      <c r="B566" s="328">
        <v>1</v>
      </c>
      <c r="C566" s="328"/>
      <c r="D566" s="328"/>
      <c r="E566" s="328"/>
    </row>
    <row r="567" spans="1:5">
      <c r="A567" t="s">
        <v>1217</v>
      </c>
      <c r="B567" s="328">
        <v>1</v>
      </c>
      <c r="C567" s="328"/>
      <c r="D567" s="328"/>
      <c r="E567" s="328"/>
    </row>
    <row r="568" spans="1:5">
      <c r="A568" t="s">
        <v>1218</v>
      </c>
      <c r="B568" s="328">
        <v>1</v>
      </c>
      <c r="C568" s="328"/>
      <c r="D568" s="328"/>
      <c r="E568" s="328"/>
    </row>
    <row r="569" spans="1:5">
      <c r="A569" t="s">
        <v>1219</v>
      </c>
      <c r="B569" s="328">
        <v>1</v>
      </c>
      <c r="C569" s="328"/>
      <c r="D569" s="328"/>
      <c r="E569" s="328"/>
    </row>
    <row r="570" spans="1:5">
      <c r="A570" t="s">
        <v>1220</v>
      </c>
      <c r="B570" s="328">
        <v>1</v>
      </c>
      <c r="C570" s="328"/>
      <c r="D570" s="328"/>
      <c r="E570" s="328"/>
    </row>
    <row r="571" spans="1:5">
      <c r="A571" t="s">
        <v>1221</v>
      </c>
      <c r="B571" s="328">
        <v>1</v>
      </c>
      <c r="C571" s="328"/>
      <c r="D571" s="328"/>
      <c r="E571" s="328"/>
    </row>
    <row r="572" spans="1:5">
      <c r="A572" t="s">
        <v>1222</v>
      </c>
      <c r="B572" s="328">
        <v>6</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22.09765625" customWidth="1"/>
    <col min="3" max="3" width="15.69921875" customWidth="1"/>
    <col min="4" max="4" width="12.19921875" customWidth="1"/>
    <col min="5" max="5" width="12.3984375" customWidth="1"/>
    <col min="6" max="6" width="15.19921875" customWidth="1"/>
    <col min="7" max="7" width="15" customWidth="1"/>
    <col min="8" max="8" width="23.39843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c r="B2" s="127" t="s">
        <v>2024</v>
      </c>
    </row>
    <row r="3" spans="2:9" ht="17.399999999999999" customHeight="1">
      <c r="B3" s="346"/>
    </row>
    <row r="6" spans="2:9" ht="18" customHeight="1">
      <c r="B6" s="50" t="s">
        <v>8</v>
      </c>
      <c r="C6" t="s">
        <v>26</v>
      </c>
    </row>
    <row r="7" spans="2:9">
      <c r="B7" s="50" t="s">
        <v>10</v>
      </c>
      <c r="C7" t="s">
        <v>40</v>
      </c>
    </row>
    <row r="9" spans="2:9">
      <c r="B9" s="50" t="s">
        <v>1224</v>
      </c>
      <c r="C9" s="50" t="s">
        <v>1225</v>
      </c>
    </row>
    <row r="10" spans="2:9">
      <c r="B10" s="50" t="s">
        <v>1226</v>
      </c>
      <c r="C10" t="s">
        <v>612</v>
      </c>
      <c r="D10" t="s">
        <v>613</v>
      </c>
      <c r="E10" t="s">
        <v>1921</v>
      </c>
      <c r="F10" t="s">
        <v>615</v>
      </c>
      <c r="G10" t="s">
        <v>616</v>
      </c>
      <c r="H10" t="s">
        <v>1922</v>
      </c>
      <c r="I10" t="s">
        <v>1222</v>
      </c>
    </row>
    <row r="11" spans="2:9">
      <c r="B11" s="51" t="s">
        <v>27</v>
      </c>
      <c r="C11" s="328">
        <v>10</v>
      </c>
      <c r="D11" s="328">
        <v>147</v>
      </c>
      <c r="E11" s="328"/>
      <c r="F11" s="328">
        <v>12</v>
      </c>
      <c r="G11" s="328"/>
      <c r="H11" s="328"/>
      <c r="I11" s="328">
        <v>169</v>
      </c>
    </row>
    <row r="12" spans="2:9">
      <c r="B12" s="51" t="s">
        <v>29</v>
      </c>
      <c r="C12" s="328">
        <v>14</v>
      </c>
      <c r="D12" s="328">
        <v>205</v>
      </c>
      <c r="E12" s="328">
        <v>13</v>
      </c>
      <c r="F12" s="328">
        <v>1</v>
      </c>
      <c r="G12" s="328"/>
      <c r="H12" s="328">
        <v>12</v>
      </c>
      <c r="I12" s="328">
        <v>245</v>
      </c>
    </row>
    <row r="13" spans="2:9">
      <c r="B13" s="51" t="s">
        <v>26</v>
      </c>
      <c r="C13" s="328"/>
      <c r="D13" s="328">
        <v>120</v>
      </c>
      <c r="E13" s="328">
        <v>12</v>
      </c>
      <c r="F13" s="328">
        <v>2</v>
      </c>
      <c r="G13" s="328">
        <v>1</v>
      </c>
      <c r="H13" s="328"/>
      <c r="I13" s="328">
        <v>135</v>
      </c>
    </row>
    <row r="14" spans="2:9">
      <c r="B14" s="51" t="s">
        <v>1222</v>
      </c>
      <c r="C14" s="328">
        <v>24</v>
      </c>
      <c r="D14" s="328">
        <v>472</v>
      </c>
      <c r="E14" s="328">
        <v>25</v>
      </c>
      <c r="F14" s="328">
        <v>15</v>
      </c>
      <c r="G14" s="328">
        <v>1</v>
      </c>
      <c r="H14" s="328">
        <v>12</v>
      </c>
      <c r="I14" s="328">
        <v>549</v>
      </c>
    </row>
    <row r="18" spans="2:10">
      <c r="B18" s="51"/>
      <c r="C18" s="328"/>
      <c r="D18" s="328"/>
      <c r="E18" s="328"/>
      <c r="F18" s="328"/>
      <c r="G18" s="328"/>
      <c r="H18" s="328"/>
      <c r="I18" s="328"/>
      <c r="J18" s="328"/>
    </row>
    <row r="19" spans="2:10">
      <c r="B19" s="50" t="s">
        <v>8</v>
      </c>
      <c r="C19" t="s">
        <v>26</v>
      </c>
    </row>
    <row r="20" spans="2:10">
      <c r="B20" s="50" t="s">
        <v>2030</v>
      </c>
      <c r="C20" t="s">
        <v>2029</v>
      </c>
    </row>
    <row r="21" spans="2:10">
      <c r="B21" s="50" t="s">
        <v>10</v>
      </c>
      <c r="C21" t="s">
        <v>40</v>
      </c>
    </row>
    <row r="23" spans="2:10">
      <c r="B23" s="50" t="s">
        <v>1226</v>
      </c>
      <c r="C23" t="s">
        <v>1224</v>
      </c>
    </row>
    <row r="24" spans="2:10">
      <c r="B24" s="51" t="s">
        <v>612</v>
      </c>
      <c r="C24" s="328">
        <v>24</v>
      </c>
    </row>
    <row r="25" spans="2:10">
      <c r="B25" s="51" t="s">
        <v>613</v>
      </c>
      <c r="C25" s="328">
        <v>472</v>
      </c>
    </row>
    <row r="26" spans="2:10">
      <c r="B26" s="51" t="s">
        <v>1921</v>
      </c>
      <c r="C26" s="328">
        <v>25</v>
      </c>
    </row>
    <row r="27" spans="2:10">
      <c r="B27" s="51" t="s">
        <v>615</v>
      </c>
      <c r="C27" s="328">
        <v>15</v>
      </c>
    </row>
    <row r="28" spans="2:10">
      <c r="B28" s="51" t="s">
        <v>616</v>
      </c>
      <c r="C28" s="328">
        <v>1</v>
      </c>
    </row>
    <row r="29" spans="2:10">
      <c r="B29" s="51" t="s">
        <v>1922</v>
      </c>
      <c r="C29" s="328">
        <v>12</v>
      </c>
    </row>
    <row r="30" spans="2:10">
      <c r="B30" s="51" t="s">
        <v>1222</v>
      </c>
      <c r="C30" s="328">
        <v>549</v>
      </c>
    </row>
    <row r="40" spans="2:12">
      <c r="B40" s="345"/>
      <c r="C40" s="345"/>
      <c r="D40" s="345"/>
    </row>
    <row r="41" spans="2:12">
      <c r="B41" s="345"/>
      <c r="C41" s="345"/>
      <c r="D41" s="345"/>
    </row>
    <row r="42" spans="2:12" ht="22.2">
      <c r="B42" s="127" t="s">
        <v>2025</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615</v>
      </c>
      <c r="F50" t="s">
        <v>1222</v>
      </c>
    </row>
    <row r="51" spans="2:6">
      <c r="B51" s="51" t="s">
        <v>74</v>
      </c>
      <c r="C51" s="328">
        <v>3</v>
      </c>
      <c r="D51" s="328">
        <v>17</v>
      </c>
      <c r="E51" s="328"/>
      <c r="F51" s="328">
        <v>20</v>
      </c>
    </row>
    <row r="52" spans="2:6">
      <c r="B52" s="51" t="s">
        <v>123</v>
      </c>
      <c r="C52" s="328"/>
      <c r="D52" s="328">
        <v>72</v>
      </c>
      <c r="E52" s="328"/>
      <c r="F52" s="328">
        <v>72</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147</v>
      </c>
      <c r="E57" s="328">
        <v>12</v>
      </c>
      <c r="F57" s="328">
        <v>169</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147</v>
      </c>
    </row>
    <row r="69" spans="2:3">
      <c r="B69" s="51" t="s">
        <v>615</v>
      </c>
      <c r="C69" s="328">
        <v>12</v>
      </c>
    </row>
    <row r="70" spans="2:3">
      <c r="B70" s="51" t="s">
        <v>1222</v>
      </c>
      <c r="C70" s="328">
        <v>169</v>
      </c>
    </row>
    <row r="81" spans="2:16" ht="22.2">
      <c r="B81" s="127" t="s">
        <v>2026</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1921</v>
      </c>
      <c r="F88" t="s">
        <v>1922</v>
      </c>
      <c r="G88" t="s">
        <v>615</v>
      </c>
      <c r="H88" t="s">
        <v>1222</v>
      </c>
    </row>
    <row r="89" spans="2:16">
      <c r="B89" s="51" t="s">
        <v>182</v>
      </c>
      <c r="C89" s="328">
        <v>2</v>
      </c>
      <c r="D89" s="328">
        <v>27</v>
      </c>
      <c r="E89" s="328"/>
      <c r="F89" s="328"/>
      <c r="G89" s="328">
        <v>1</v>
      </c>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23</v>
      </c>
      <c r="E92" s="328">
        <v>9</v>
      </c>
      <c r="F92" s="328"/>
      <c r="G92" s="328"/>
      <c r="H92" s="328">
        <v>32</v>
      </c>
    </row>
    <row r="93" spans="2:16">
      <c r="B93" s="51" t="s">
        <v>312</v>
      </c>
      <c r="C93" s="328"/>
      <c r="D93" s="328">
        <v>14</v>
      </c>
      <c r="E93" s="328">
        <v>4</v>
      </c>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205</v>
      </c>
      <c r="E102" s="328">
        <v>13</v>
      </c>
      <c r="F102" s="328">
        <v>12</v>
      </c>
      <c r="G102" s="328">
        <v>1</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205</v>
      </c>
    </row>
    <row r="114" spans="2:16">
      <c r="B114" s="51" t="s">
        <v>1921</v>
      </c>
      <c r="C114" s="328">
        <v>13</v>
      </c>
    </row>
    <row r="115" spans="2:16">
      <c r="B115" s="51" t="s">
        <v>1922</v>
      </c>
      <c r="C115" s="328">
        <v>12</v>
      </c>
    </row>
    <row r="116" spans="2:16">
      <c r="B116" s="51" t="s">
        <v>615</v>
      </c>
      <c r="C116" s="328">
        <v>1</v>
      </c>
    </row>
    <row r="117" spans="2:16">
      <c r="B117" s="51" t="s">
        <v>1222</v>
      </c>
      <c r="C117" s="328">
        <v>245</v>
      </c>
    </row>
    <row r="126" spans="2:16" ht="22.2">
      <c r="B126" s="127" t="s">
        <v>2027</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1224</v>
      </c>
      <c r="C133" s="50" t="s">
        <v>1225</v>
      </c>
    </row>
    <row r="134" spans="2:7">
      <c r="B134" s="50" t="s">
        <v>1226</v>
      </c>
      <c r="C134" t="s">
        <v>613</v>
      </c>
      <c r="D134" t="s">
        <v>1921</v>
      </c>
      <c r="E134" t="s">
        <v>615</v>
      </c>
      <c r="F134" t="s">
        <v>616</v>
      </c>
      <c r="G134" t="s">
        <v>1222</v>
      </c>
    </row>
    <row r="135" spans="2:7">
      <c r="B135" s="51" t="s">
        <v>380</v>
      </c>
      <c r="C135" s="328">
        <v>23</v>
      </c>
      <c r="D135" s="328">
        <v>6</v>
      </c>
      <c r="E135" s="328">
        <v>1</v>
      </c>
      <c r="F135" s="328"/>
      <c r="G135" s="328">
        <v>30</v>
      </c>
    </row>
    <row r="136" spans="2:7">
      <c r="B136" s="51" t="s">
        <v>336</v>
      </c>
      <c r="C136" s="328">
        <v>37</v>
      </c>
      <c r="D136" s="328">
        <v>6</v>
      </c>
      <c r="E136" s="328"/>
      <c r="F136" s="328"/>
      <c r="G136" s="328">
        <v>43</v>
      </c>
    </row>
    <row r="137" spans="2:7">
      <c r="B137" s="51" t="s">
        <v>369</v>
      </c>
      <c r="C137" s="328">
        <v>23</v>
      </c>
      <c r="D137" s="328"/>
      <c r="E137" s="328"/>
      <c r="F137" s="328">
        <v>1</v>
      </c>
      <c r="G137" s="328">
        <v>24</v>
      </c>
    </row>
    <row r="138" spans="2:7">
      <c r="B138" s="51" t="s">
        <v>440</v>
      </c>
      <c r="C138" s="328">
        <v>5</v>
      </c>
      <c r="D138" s="328"/>
      <c r="E138" s="328"/>
      <c r="F138" s="328"/>
      <c r="G138" s="328">
        <v>5</v>
      </c>
    </row>
    <row r="139" spans="2:7">
      <c r="B139" s="51" t="s">
        <v>442</v>
      </c>
      <c r="C139" s="328">
        <v>5</v>
      </c>
      <c r="D139" s="328"/>
      <c r="E139" s="328"/>
      <c r="F139" s="328"/>
      <c r="G139" s="328">
        <v>5</v>
      </c>
    </row>
    <row r="140" spans="2:7">
      <c r="B140" s="51" t="s">
        <v>1948</v>
      </c>
      <c r="C140" s="328">
        <v>3</v>
      </c>
      <c r="D140" s="328"/>
      <c r="E140" s="328">
        <v>1</v>
      </c>
      <c r="F140" s="328"/>
      <c r="G140" s="328">
        <v>4</v>
      </c>
    </row>
    <row r="141" spans="2:7">
      <c r="B141" s="51" t="s">
        <v>393</v>
      </c>
      <c r="C141" s="328">
        <v>9</v>
      </c>
      <c r="D141" s="328"/>
      <c r="E141" s="328"/>
      <c r="F141" s="328"/>
      <c r="G141" s="328">
        <v>9</v>
      </c>
    </row>
    <row r="142" spans="2:7">
      <c r="B142" s="51" t="s">
        <v>1949</v>
      </c>
      <c r="C142" s="328">
        <v>15</v>
      </c>
      <c r="D142" s="328"/>
      <c r="E142" s="328"/>
      <c r="F142" s="328"/>
      <c r="G142" s="328">
        <v>15</v>
      </c>
    </row>
    <row r="143" spans="2:7">
      <c r="B143" s="51" t="s">
        <v>1222</v>
      </c>
      <c r="C143" s="328">
        <v>120</v>
      </c>
      <c r="D143" s="328">
        <v>12</v>
      </c>
      <c r="E143" s="328">
        <v>2</v>
      </c>
      <c r="F143" s="328">
        <v>1</v>
      </c>
      <c r="G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120</v>
      </c>
    </row>
    <row r="156" spans="2:3">
      <c r="B156" s="51" t="s">
        <v>1921</v>
      </c>
      <c r="C156" s="328">
        <v>12</v>
      </c>
    </row>
    <row r="157" spans="2:3">
      <c r="B157" s="51" t="s">
        <v>616</v>
      </c>
      <c r="C157" s="328">
        <v>1</v>
      </c>
    </row>
    <row r="158" spans="2:3">
      <c r="B158" s="51" t="s">
        <v>615</v>
      </c>
      <c r="C158" s="328">
        <v>2</v>
      </c>
    </row>
    <row r="159" spans="2:3">
      <c r="B159" s="51" t="s">
        <v>1222</v>
      </c>
      <c r="C159"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abSelected="1" zoomScale="70" zoomScaleNormal="70" workbookViewId="0">
      <selection activeCell="F695" sqref="F695"/>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615</v>
      </c>
      <c r="J9" s="43">
        <f>VLOOKUP(Table1[[#This Row],[Status]],Auxiliar!$B$16:$C$24,2,0)</f>
        <v>5</v>
      </c>
      <c r="K9" s="2" t="s">
        <v>1243</v>
      </c>
      <c r="L9" s="2" t="s">
        <v>1252</v>
      </c>
      <c r="M9" s="21" t="s">
        <v>1253</v>
      </c>
      <c r="N9" s="48">
        <v>45667</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615</v>
      </c>
      <c r="J10" s="43">
        <f>VLOOKUP(Table1[[#This Row],[Status]],Auxiliar!$B$16:$C$24,2,0)</f>
        <v>5</v>
      </c>
      <c r="K10" s="2" t="s">
        <v>1249</v>
      </c>
      <c r="L10" s="29" t="s">
        <v>1244</v>
      </c>
      <c r="M10" s="21" t="s">
        <v>1253</v>
      </c>
      <c r="N10" s="48">
        <v>45667</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615</v>
      </c>
      <c r="J11" s="43">
        <f>VLOOKUP(Table1[[#This Row],[Status]],Auxiliar!$B$16:$C$24,2,0)</f>
        <v>5</v>
      </c>
      <c r="K11" s="2" t="s">
        <v>1257</v>
      </c>
      <c r="L11" s="29" t="s">
        <v>1244</v>
      </c>
      <c r="M11" s="21" t="s">
        <v>1253</v>
      </c>
      <c r="N11" s="48">
        <v>45667</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615</v>
      </c>
      <c r="J12" s="43">
        <f>VLOOKUP(Table1[[#This Row],[Status]],Auxiliar!$B$16:$C$24,2,0)</f>
        <v>5</v>
      </c>
      <c r="K12" s="2" t="s">
        <v>1249</v>
      </c>
      <c r="L12" s="29" t="s">
        <v>1244</v>
      </c>
      <c r="M12" s="21" t="s">
        <v>1253</v>
      </c>
      <c r="N12" s="48">
        <v>45667</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615</v>
      </c>
      <c r="J13" s="43">
        <f>VLOOKUP(Table1[[#This Row],[Status]],Auxiliar!$B$16:$C$24,2,0)</f>
        <v>5</v>
      </c>
      <c r="K13" s="2" t="s">
        <v>1257</v>
      </c>
      <c r="L13" s="29" t="s">
        <v>1244</v>
      </c>
      <c r="M13" s="21" t="s">
        <v>1253</v>
      </c>
      <c r="N13" s="48">
        <v>45667</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615</v>
      </c>
      <c r="J14" s="43">
        <f>VLOOKUP(Table1[[#This Row],[Status]],Auxiliar!$B$16:$C$24,2,0)</f>
        <v>5</v>
      </c>
      <c r="K14" s="2" t="s">
        <v>1249</v>
      </c>
      <c r="L14" s="29" t="s">
        <v>1244</v>
      </c>
      <c r="M14" s="21" t="s">
        <v>1253</v>
      </c>
      <c r="N14" s="48">
        <v>45667</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615</v>
      </c>
      <c r="J15" s="43">
        <f>VLOOKUP(Table1[[#This Row],[Status]],Auxiliar!$B$16:$C$24,2,0)</f>
        <v>5</v>
      </c>
      <c r="K15" s="2" t="s">
        <v>1257</v>
      </c>
      <c r="L15" s="29" t="s">
        <v>1244</v>
      </c>
      <c r="M15" s="21" t="s">
        <v>1253</v>
      </c>
      <c r="N15" s="48">
        <v>45667</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615</v>
      </c>
      <c r="J16" s="43">
        <f>VLOOKUP(Table1[[#This Row],[Status]],Auxiliar!$B$16:$C$24,2,0)</f>
        <v>5</v>
      </c>
      <c r="K16" s="2" t="s">
        <v>1249</v>
      </c>
      <c r="L16" s="29" t="s">
        <v>1244</v>
      </c>
      <c r="M16" s="21" t="s">
        <v>1253</v>
      </c>
      <c r="N16" s="48">
        <v>45667</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615</v>
      </c>
      <c r="J17" s="43">
        <f>VLOOKUP(Table1[[#This Row],[Status]],Auxiliar!$B$16:$C$24,2,0)</f>
        <v>5</v>
      </c>
      <c r="K17" s="2" t="s">
        <v>1257</v>
      </c>
      <c r="L17" s="29" t="s">
        <v>1244</v>
      </c>
      <c r="M17" s="21" t="s">
        <v>1253</v>
      </c>
      <c r="N17" s="48">
        <v>45667</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615</v>
      </c>
      <c r="J18" s="43">
        <f>VLOOKUP(Table1[[#This Row],[Status]],Auxiliar!$B$16:$C$24,2,0)</f>
        <v>5</v>
      </c>
      <c r="K18" s="2" t="s">
        <v>1249</v>
      </c>
      <c r="L18" s="29" t="s">
        <v>1244</v>
      </c>
      <c r="M18" s="21" t="s">
        <v>1253</v>
      </c>
      <c r="N18" s="48">
        <v>45667</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615</v>
      </c>
      <c r="J19" s="43">
        <f>VLOOKUP(Table1[[#This Row],[Status]],Auxiliar!$B$16:$C$24,2,0)</f>
        <v>5</v>
      </c>
      <c r="K19" s="2" t="s">
        <v>1257</v>
      </c>
      <c r="L19" s="29" t="s">
        <v>1244</v>
      </c>
      <c r="M19" s="21" t="s">
        <v>1253</v>
      </c>
      <c r="N19" s="48">
        <v>45667</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615</v>
      </c>
      <c r="J20" s="43">
        <f>VLOOKUP(Table1[[#This Row],[Status]],Auxiliar!$B$16:$C$24,2,0)</f>
        <v>5</v>
      </c>
      <c r="K20" s="2" t="s">
        <v>1249</v>
      </c>
      <c r="L20" s="29" t="s">
        <v>1244</v>
      </c>
      <c r="M20" s="21" t="s">
        <v>1253</v>
      </c>
      <c r="N20" s="48">
        <v>45667</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615</v>
      </c>
      <c r="J21" s="43">
        <f>VLOOKUP(Table1[[#This Row],[Status]],Auxiliar!$B$16:$C$24,2,0)</f>
        <v>5</v>
      </c>
      <c r="K21" s="2" t="s">
        <v>1257</v>
      </c>
      <c r="L21" s="29" t="s">
        <v>1244</v>
      </c>
      <c r="M21" s="21" t="s">
        <v>1253</v>
      </c>
      <c r="N21" s="48">
        <v>45667</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615</v>
      </c>
      <c r="J22" s="43">
        <f>VLOOKUP(Table1[[#This Row],[Status]],Auxiliar!$B$16:$C$24,2,0)</f>
        <v>5</v>
      </c>
      <c r="K22" s="2" t="s">
        <v>1249</v>
      </c>
      <c r="L22" s="29" t="s">
        <v>1244</v>
      </c>
      <c r="M22" s="21" t="s">
        <v>1253</v>
      </c>
      <c r="N22" s="48">
        <v>45667</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615</v>
      </c>
      <c r="J23" s="43">
        <f>VLOOKUP(Table1[[#This Row],[Status]],Auxiliar!$B$16:$C$24,2,0)</f>
        <v>5</v>
      </c>
      <c r="K23" s="2" t="s">
        <v>1257</v>
      </c>
      <c r="L23" s="29" t="s">
        <v>1244</v>
      </c>
      <c r="M23" s="21" t="s">
        <v>1253</v>
      </c>
      <c r="N23" s="48">
        <v>45667</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615</v>
      </c>
      <c r="J24" s="43">
        <f>VLOOKUP(Table1[[#This Row],[Status]],Auxiliar!$B$16:$C$24,2,0)</f>
        <v>5</v>
      </c>
      <c r="K24" s="2" t="s">
        <v>1249</v>
      </c>
      <c r="L24" s="29" t="s">
        <v>1244</v>
      </c>
      <c r="M24" s="21" t="s">
        <v>1253</v>
      </c>
      <c r="N24" s="48">
        <v>45667</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615</v>
      </c>
      <c r="J25" s="43">
        <f>VLOOKUP(Table1[[#This Row],[Status]],Auxiliar!$B$16:$C$24,2,0)</f>
        <v>5</v>
      </c>
      <c r="K25" s="2" t="s">
        <v>1257</v>
      </c>
      <c r="L25" s="29" t="s">
        <v>1244</v>
      </c>
      <c r="M25" s="21" t="s">
        <v>1253</v>
      </c>
      <c r="N25" s="48">
        <v>45667</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615</v>
      </c>
      <c r="J26" s="43">
        <f>VLOOKUP(Table1[[#This Row],[Status]],Auxiliar!$B$16:$C$24,2,0)</f>
        <v>5</v>
      </c>
      <c r="K26" s="2" t="s">
        <v>1249</v>
      </c>
      <c r="L26" s="29" t="s">
        <v>1244</v>
      </c>
      <c r="M26" s="21" t="s">
        <v>1253</v>
      </c>
      <c r="N26" s="48">
        <v>45667</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615</v>
      </c>
      <c r="J27" s="43">
        <f>VLOOKUP(Table1[[#This Row],[Status]],Auxiliar!$B$16:$C$24,2,0)</f>
        <v>5</v>
      </c>
      <c r="K27" s="2" t="s">
        <v>1257</v>
      </c>
      <c r="L27" s="29" t="s">
        <v>1244</v>
      </c>
      <c r="M27" s="21" t="s">
        <v>1253</v>
      </c>
      <c r="N27" s="48">
        <v>45667</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615</v>
      </c>
      <c r="J28" s="43">
        <f>VLOOKUP(Table1[[#This Row],[Status]],Auxiliar!$B$16:$C$24,2,0)</f>
        <v>5</v>
      </c>
      <c r="K28" s="2" t="s">
        <v>1249</v>
      </c>
      <c r="L28" s="29" t="s">
        <v>1244</v>
      </c>
      <c r="M28" s="21" t="s">
        <v>1253</v>
      </c>
      <c r="N28" s="48">
        <v>45667</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615</v>
      </c>
      <c r="J29" s="43">
        <f>VLOOKUP(Table1[[#This Row],[Status]],Auxiliar!$B$16:$C$24,2,0)</f>
        <v>5</v>
      </c>
      <c r="K29" s="2" t="s">
        <v>1257</v>
      </c>
      <c r="L29" s="29" t="s">
        <v>1244</v>
      </c>
      <c r="M29" s="21" t="s">
        <v>1253</v>
      </c>
      <c r="N29" s="48">
        <v>45667</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615</v>
      </c>
      <c r="J30" s="43">
        <f>VLOOKUP(Table1[[#This Row],[Status]],Auxiliar!$B$16:$C$24,2,0)</f>
        <v>5</v>
      </c>
      <c r="K30" s="2" t="s">
        <v>1249</v>
      </c>
      <c r="L30" s="29" t="s">
        <v>1244</v>
      </c>
      <c r="M30" s="21" t="s">
        <v>1253</v>
      </c>
      <c r="N30" s="48">
        <v>45667</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615</v>
      </c>
      <c r="J31" s="43">
        <f>VLOOKUP(Table1[[#This Row],[Status]],Auxiliar!$B$16:$C$24,2,0)</f>
        <v>5</v>
      </c>
      <c r="K31" s="2" t="s">
        <v>1257</v>
      </c>
      <c r="L31" s="29" t="s">
        <v>1244</v>
      </c>
      <c r="M31" s="21" t="s">
        <v>1253</v>
      </c>
      <c r="N31" s="48">
        <v>45667</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615</v>
      </c>
      <c r="J32" s="43">
        <f>VLOOKUP(Table1[[#This Row],[Status]],Auxiliar!$B$16:$C$24,2,0)</f>
        <v>5</v>
      </c>
      <c r="K32" s="2" t="s">
        <v>1249</v>
      </c>
      <c r="L32" s="29" t="s">
        <v>1244</v>
      </c>
      <c r="M32" s="21" t="s">
        <v>1253</v>
      </c>
      <c r="N32" s="48">
        <v>45667</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615</v>
      </c>
      <c r="J33" s="43">
        <f>VLOOKUP(Table1[[#This Row],[Status]],Auxiliar!$B$16:$C$24,2,0)</f>
        <v>5</v>
      </c>
      <c r="K33" s="2" t="s">
        <v>1257</v>
      </c>
      <c r="L33" s="29" t="s">
        <v>1244</v>
      </c>
      <c r="M33" s="21" t="s">
        <v>1253</v>
      </c>
      <c r="N33" s="48">
        <v>45667</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1246</v>
      </c>
      <c r="L158" s="29" t="s">
        <v>1244</v>
      </c>
      <c r="M158" s="21" t="s">
        <v>1253</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1247</v>
      </c>
      <c r="L159" s="29" t="s">
        <v>1244</v>
      </c>
      <c r="M159" s="21" t="s">
        <v>1253</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1249</v>
      </c>
      <c r="L160" s="29" t="s">
        <v>1244</v>
      </c>
      <c r="M160" s="21" t="s">
        <v>1253</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1246</v>
      </c>
      <c r="L179" s="29" t="s">
        <v>1244</v>
      </c>
      <c r="M179" s="21" t="s">
        <v>1253</v>
      </c>
      <c r="N179" s="48">
        <v>45485</v>
      </c>
      <c r="O179" s="21">
        <f>INDEX(Auxiliar!$D$5:$F$13,MATCH(Table1[[#This Row],[Tipologia_Testes]],Auxiliar!$B$5:$B$13,0),MATCH(Table1[[#This Row],[Complexidade]],Auxiliar!$D$4:$F$4,0))</f>
        <v>2</v>
      </c>
      <c r="P179" s="2" t="s">
        <v>1270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1247</v>
      </c>
      <c r="L180" s="29" t="s">
        <v>1244</v>
      </c>
      <c r="M180" s="21" t="s">
        <v>1253</v>
      </c>
      <c r="N180" s="48">
        <v>45485</v>
      </c>
      <c r="O180" s="21">
        <f>INDEX(Auxiliar!$D$5:$F$13,MATCH(Table1[[#This Row],[Tipologia_Testes]],Auxiliar!$B$5:$B$13,0),MATCH(Table1[[#This Row],[Complexidade]],Auxiliar!$D$4:$F$4,0))</f>
        <v>2</v>
      </c>
      <c r="P180" s="2" t="s">
        <v>1270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1249</v>
      </c>
      <c r="L181" s="29" t="s">
        <v>1244</v>
      </c>
      <c r="M181" s="21" t="s">
        <v>1253</v>
      </c>
      <c r="N181" s="48">
        <v>45485</v>
      </c>
      <c r="O181" s="21">
        <f>INDEX(Auxiliar!$D$5:$F$13,MATCH(Table1[[#This Row],[Tipologia_Testes]],Auxiliar!$B$5:$B$13,0),MATCH(Table1[[#This Row],[Complexidade]],Auxiliar!$D$4:$F$4,0))</f>
        <v>0.1</v>
      </c>
      <c r="P181" s="2" t="s">
        <v>1270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1246</v>
      </c>
      <c r="L224" s="29" t="s">
        <v>1244</v>
      </c>
      <c r="M224" s="21" t="s">
        <v>1253</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1247</v>
      </c>
      <c r="L225" s="29" t="s">
        <v>1244</v>
      </c>
      <c r="M225" s="21" t="s">
        <v>1253</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1249</v>
      </c>
      <c r="L226" s="29" t="s">
        <v>1244</v>
      </c>
      <c r="M226" s="21" t="s">
        <v>1253</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1246</v>
      </c>
      <c r="L251" s="29" t="s">
        <v>1244</v>
      </c>
      <c r="M251" s="21" t="s">
        <v>1253</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1247</v>
      </c>
      <c r="L252" s="29" t="s">
        <v>1244</v>
      </c>
      <c r="M252" s="21" t="s">
        <v>1253</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1249</v>
      </c>
      <c r="L253" s="29" t="s">
        <v>1244</v>
      </c>
      <c r="M253" s="21" t="s">
        <v>1253</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1243</v>
      </c>
      <c r="L347" s="29" t="s">
        <v>1244</v>
      </c>
      <c r="M347" s="21" t="s">
        <v>1245</v>
      </c>
      <c r="N347" s="48">
        <v>45512</v>
      </c>
      <c r="O347" s="21">
        <f>INDEX(Auxiliar!$D$5:$F$13,MATCH(Table1[[#This Row],[Tipologia_Testes]],Auxiliar!$B$5:$B$13,0),MATCH(Table1[[#This Row],[Complexidade]],Auxiliar!$D$4:$F$4,0))</f>
        <v>8</v>
      </c>
      <c r="P347" s="23" t="s">
        <v>1271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1246</v>
      </c>
      <c r="L348" s="29" t="s">
        <v>1252</v>
      </c>
      <c r="M348" s="21" t="s">
        <v>1253</v>
      </c>
      <c r="N348" s="48">
        <v>45499</v>
      </c>
      <c r="O348" s="21">
        <f>INDEX(Auxiliar!$D$5:$F$13,MATCH(Table1[[#This Row],[Tipologia_Testes]],Auxiliar!$B$5:$B$13,0),MATCH(Table1[[#This Row],[Complexidade]],Auxiliar!$D$4:$F$4,0))</f>
        <v>2</v>
      </c>
      <c r="P348" s="2" t="s">
        <v>1266</v>
      </c>
      <c r="Q348" s="2" t="s">
        <v>1263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1247</v>
      </c>
      <c r="L349" s="29" t="s">
        <v>1252</v>
      </c>
      <c r="M349" s="21" t="s">
        <v>1253</v>
      </c>
      <c r="N349" s="48">
        <v>45499</v>
      </c>
      <c r="O349" s="21">
        <f>INDEX(Auxiliar!$D$5:$F$13,MATCH(Table1[[#This Row],[Tipologia_Testes]],Auxiliar!$B$5:$B$13,0),MATCH(Table1[[#This Row],[Complexidade]],Auxiliar!$D$4:$F$4,0))</f>
        <v>2</v>
      </c>
      <c r="P349" s="2" t="s">
        <v>1266</v>
      </c>
      <c r="Q349" s="2" t="s">
        <v>1263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1249</v>
      </c>
      <c r="L350" s="29" t="s">
        <v>1252</v>
      </c>
      <c r="M350" s="21" t="s">
        <v>1253</v>
      </c>
      <c r="N350" s="48">
        <v>45499</v>
      </c>
      <c r="O350" s="21">
        <f>INDEX(Auxiliar!$D$5:$F$13,MATCH(Table1[[#This Row],[Tipologia_Testes]],Auxiliar!$B$5:$B$13,0),MATCH(Table1[[#This Row],[Complexidade]],Auxiliar!$D$4:$F$4,0))</f>
        <v>0.1</v>
      </c>
      <c r="P350" s="2" t="s">
        <v>1266</v>
      </c>
      <c r="Q350" s="2" t="s">
        <v>1263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1246</v>
      </c>
      <c r="L357" s="29" t="s">
        <v>1264</v>
      </c>
      <c r="M357" s="21" t="s">
        <v>1253</v>
      </c>
      <c r="N357" s="48">
        <v>45485</v>
      </c>
      <c r="O357" s="21">
        <f>INDEX(Auxiliar!$D$5:$F$13,MATCH(Table1[[#This Row],[Tipologia_Testes]],Auxiliar!$B$5:$B$13,0),MATCH(Table1[[#This Row],[Complexidade]],Auxiliar!$D$4:$F$4,0))</f>
        <v>2</v>
      </c>
      <c r="P357" s="2" t="s">
        <v>1272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1246</v>
      </c>
      <c r="L358" s="29" t="s">
        <v>1252</v>
      </c>
      <c r="M358" s="21" t="s">
        <v>1253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1247</v>
      </c>
      <c r="L359" s="29" t="s">
        <v>1252</v>
      </c>
      <c r="M359" s="21" t="s">
        <v>1253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1249</v>
      </c>
      <c r="L360" s="29" t="s">
        <v>1252</v>
      </c>
      <c r="M360" s="21" t="s">
        <v>1253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1246</v>
      </c>
      <c r="L385" s="29" t="s">
        <v>1264</v>
      </c>
      <c r="M385" s="21" t="s">
        <v>1253</v>
      </c>
      <c r="N385" s="48">
        <v>45485</v>
      </c>
      <c r="O385" s="21">
        <f>INDEX(Auxiliar!$D$5:$F$13,MATCH(Table1[[#This Row],[Tipologia_Testes]],Auxiliar!$B$5:$B$13,0),MATCH(Table1[[#This Row],[Complexidade]],Auxiliar!$D$4:$F$4,0))</f>
        <v>2</v>
      </c>
      <c r="P385" s="2" t="s">
        <v>1272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1246</v>
      </c>
      <c r="L386" s="29" t="s">
        <v>1264</v>
      </c>
      <c r="M386" s="21" t="s">
        <v>1253</v>
      </c>
      <c r="N386" s="48">
        <v>45485</v>
      </c>
      <c r="O386" s="21">
        <f>INDEX(Auxiliar!$D$5:$F$13,MATCH(Table1[[#This Row],[Tipologia_Testes]],Auxiliar!$B$5:$B$13,0),MATCH(Table1[[#This Row],[Complexidade]],Auxiliar!$D$4:$F$4,0))</f>
        <v>2</v>
      </c>
      <c r="P386" s="2" t="s">
        <v>1272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1246</v>
      </c>
      <c r="L387" s="29" t="s">
        <v>1252</v>
      </c>
      <c r="M387" s="21" t="s">
        <v>1253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1247</v>
      </c>
      <c r="L388" s="29" t="s">
        <v>1252</v>
      </c>
      <c r="M388" s="21" t="s">
        <v>1253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1249</v>
      </c>
      <c r="L389" s="29" t="s">
        <v>1252</v>
      </c>
      <c r="M389" s="21" t="s">
        <v>1253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1243</v>
      </c>
      <c r="L393" s="29" t="s">
        <v>1244</v>
      </c>
      <c r="M393" s="21" t="s">
        <v>1245</v>
      </c>
      <c r="N393" s="48">
        <v>45512</v>
      </c>
      <c r="O393" s="21">
        <f>INDEX(Auxiliar!$D$5:$F$13,MATCH(Table1[[#This Row],[Tipologia_Testes]],Auxiliar!$B$5:$B$13,0),MATCH(Table1[[#This Row],[Complexidade]],Auxiliar!$D$4:$F$4,0))</f>
        <v>8</v>
      </c>
      <c r="P393" s="23" t="s">
        <v>1273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1246</v>
      </c>
      <c r="L394" s="29" t="s">
        <v>1244</v>
      </c>
      <c r="M394" s="21" t="s">
        <v>1254</v>
      </c>
      <c r="N394" s="48">
        <v>45499</v>
      </c>
      <c r="O394" s="21">
        <f>INDEX(Auxiliar!$D$5:$F$13,MATCH(Table1[[#This Row],[Tipologia_Testes]],Auxiliar!$B$5:$B$13,0),MATCH(Table1[[#This Row],[Complexidade]],Auxiliar!$D$4:$F$4,0))</f>
        <v>4</v>
      </c>
      <c r="P394" s="2" t="s">
        <v>1266</v>
      </c>
      <c r="Q394" s="2" t="s">
        <v>1263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1247</v>
      </c>
      <c r="L395" s="29" t="s">
        <v>1244</v>
      </c>
      <c r="M395" s="21" t="s">
        <v>1254</v>
      </c>
      <c r="N395" s="48">
        <v>45499</v>
      </c>
      <c r="O395" s="21">
        <f>INDEX(Auxiliar!$D$5:$F$13,MATCH(Table1[[#This Row],[Tipologia_Testes]],Auxiliar!$B$5:$B$13,0),MATCH(Table1[[#This Row],[Complexidade]],Auxiliar!$D$4:$F$4,0))</f>
        <v>4</v>
      </c>
      <c r="P395" s="2" t="s">
        <v>1266</v>
      </c>
      <c r="Q395" s="2" t="s">
        <v>1263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1249</v>
      </c>
      <c r="L396" s="29" t="s">
        <v>1244</v>
      </c>
      <c r="M396" s="21" t="s">
        <v>1254</v>
      </c>
      <c r="N396" s="48">
        <v>45499</v>
      </c>
      <c r="O396" s="21">
        <f>INDEX(Auxiliar!$D$5:$F$13,MATCH(Table1[[#This Row],[Tipologia_Testes]],Auxiliar!$B$5:$B$13,0),MATCH(Table1[[#This Row],[Complexidade]],Auxiliar!$D$4:$F$4,0))</f>
        <v>0.1</v>
      </c>
      <c r="P396" s="2" t="s">
        <v>1266</v>
      </c>
      <c r="Q396" s="2" t="s">
        <v>1263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1246</v>
      </c>
      <c r="L412" s="29" t="s">
        <v>1252</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1247</v>
      </c>
      <c r="L413" s="29" t="s">
        <v>1252</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1249</v>
      </c>
      <c r="L414" s="29" t="s">
        <v>1252</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1246</v>
      </c>
      <c r="L415" s="29" t="s">
        <v>1252</v>
      </c>
      <c r="M415" s="21" t="s">
        <v>1254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1247</v>
      </c>
      <c r="L416" s="29" t="s">
        <v>1252</v>
      </c>
      <c r="M416" s="21" t="s">
        <v>1254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1249</v>
      </c>
      <c r="L417" s="29" t="s">
        <v>1252</v>
      </c>
      <c r="M417" s="21" t="s">
        <v>1254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1246</v>
      </c>
      <c r="L424" s="29" t="s">
        <v>1264</v>
      </c>
      <c r="M424" s="21" t="s">
        <v>1254</v>
      </c>
      <c r="N424" s="48">
        <v>45485</v>
      </c>
      <c r="O424" s="21">
        <f>INDEX(Auxiliar!$D$5:$F$13,MATCH(Table1[[#This Row],[Tipologia_Testes]],Auxiliar!$B$5:$B$13,0),MATCH(Table1[[#This Row],[Complexidade]],Auxiliar!$D$4:$F$4,0))</f>
        <v>4</v>
      </c>
      <c r="P424" s="2" t="s">
        <v>1272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1246</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1247</v>
      </c>
      <c r="L426" s="29" t="s">
        <v>1252</v>
      </c>
      <c r="M426" s="21" t="s">
        <v>1254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1249</v>
      </c>
      <c r="L427" s="29" t="s">
        <v>1252</v>
      </c>
      <c r="M427" s="21" t="s">
        <v>1254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1246</v>
      </c>
      <c r="L428" s="29" t="s">
        <v>1244</v>
      </c>
      <c r="M428" s="21" t="s">
        <v>1254</v>
      </c>
      <c r="N428" s="48">
        <v>45512</v>
      </c>
      <c r="O428" s="21">
        <f>INDEX(Auxiliar!$D$5:$F$13,MATCH(Table1[[#This Row],[Tipologia_Testes]],Auxiliar!$B$5:$B$13,0),MATCH(Table1[[#This Row],[Complexidade]],Auxiliar!$D$4:$F$4,0))</f>
        <v>4</v>
      </c>
      <c r="P428" s="2" t="s">
        <v>1274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1247</v>
      </c>
      <c r="L429" s="29" t="s">
        <v>1244</v>
      </c>
      <c r="M429" s="21" t="s">
        <v>1254</v>
      </c>
      <c r="N429" s="48">
        <v>45512</v>
      </c>
      <c r="O429" s="21">
        <f>INDEX(Auxiliar!$D$5:$F$13,MATCH(Table1[[#This Row],[Tipologia_Testes]],Auxiliar!$B$5:$B$13,0),MATCH(Table1[[#This Row],[Complexidade]],Auxiliar!$D$4:$F$4,0))</f>
        <v>4</v>
      </c>
      <c r="P429" s="2" t="s">
        <v>1274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1249</v>
      </c>
      <c r="L430" s="29" t="s">
        <v>1244</v>
      </c>
      <c r="M430" s="21" t="s">
        <v>1254</v>
      </c>
      <c r="N430" s="48">
        <v>45512</v>
      </c>
      <c r="O430" s="21">
        <f>INDEX(Auxiliar!$D$5:$F$13,MATCH(Table1[[#This Row],[Tipologia_Testes]],Auxiliar!$B$5:$B$13,0),MATCH(Table1[[#This Row],[Complexidade]],Auxiliar!$D$4:$F$4,0))</f>
        <v>0.1</v>
      </c>
      <c r="P430" s="2" t="s">
        <v>1274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1246</v>
      </c>
      <c r="L431" s="29" t="s">
        <v>1252</v>
      </c>
      <c r="M431" s="21" t="s">
        <v>1254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1247</v>
      </c>
      <c r="L432" s="29" t="s">
        <v>1252</v>
      </c>
      <c r="M432" s="21" t="s">
        <v>1254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1249</v>
      </c>
      <c r="L433" s="29" t="s">
        <v>1252</v>
      </c>
      <c r="M433" s="21" t="s">
        <v>1254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1246</v>
      </c>
      <c r="L440" s="29" t="s">
        <v>1264</v>
      </c>
      <c r="M440" s="21" t="s">
        <v>1254</v>
      </c>
      <c r="N440" s="48">
        <v>45485</v>
      </c>
      <c r="O440" s="21">
        <f>INDEX(Auxiliar!$D$5:$F$13,MATCH(Table1[[#This Row],[Tipologia_Testes]],Auxiliar!$B$5:$B$13,0),MATCH(Table1[[#This Row],[Complexidade]],Auxiliar!$D$4:$F$4,0))</f>
        <v>4</v>
      </c>
      <c r="P440" s="2" t="s">
        <v>1272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1246</v>
      </c>
      <c r="L441" s="29" t="s">
        <v>1264</v>
      </c>
      <c r="M441" s="21" t="s">
        <v>1254</v>
      </c>
      <c r="N441" s="48">
        <v>45485</v>
      </c>
      <c r="O441" s="21">
        <f>INDEX(Auxiliar!$D$5:$F$13,MATCH(Table1[[#This Row],[Tipologia_Testes]],Auxiliar!$B$5:$B$13,0),MATCH(Table1[[#This Row],[Complexidade]],Auxiliar!$D$4:$F$4,0))</f>
        <v>4</v>
      </c>
      <c r="P441" s="2" t="s">
        <v>1272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1246</v>
      </c>
      <c r="L442" s="29" t="s">
        <v>1252</v>
      </c>
      <c r="M442" s="21" t="s">
        <v>1253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1247</v>
      </c>
      <c r="L443" s="29" t="s">
        <v>1252</v>
      </c>
      <c r="M443" s="21" t="s">
        <v>1253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1249</v>
      </c>
      <c r="L444" s="29" t="s">
        <v>1252</v>
      </c>
      <c r="M444" s="21" t="s">
        <v>1253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1243</v>
      </c>
      <c r="L448" s="29" t="s">
        <v>1244</v>
      </c>
      <c r="M448" s="21" t="s">
        <v>1245</v>
      </c>
      <c r="N448" s="48">
        <v>45485</v>
      </c>
      <c r="O448" s="21">
        <f>INDEX(Auxiliar!$D$5:$F$13,MATCH(Table1[[#This Row],[Tipologia_Testes]],Auxiliar!$B$5:$B$13,0),MATCH(Table1[[#This Row],[Complexidade]],Auxiliar!$D$4:$F$4,0))</f>
        <v>8</v>
      </c>
      <c r="P448" s="23" t="s">
        <v>1273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1246</v>
      </c>
      <c r="L449" s="29" t="s">
        <v>1252</v>
      </c>
      <c r="M449" s="21" t="s">
        <v>1253</v>
      </c>
      <c r="N449" s="48">
        <v>45485</v>
      </c>
      <c r="O449" s="21">
        <f>INDEX(Auxiliar!$D$5:$F$13,MATCH(Table1[[#This Row],[Tipologia_Testes]],Auxiliar!$B$5:$B$13,0),MATCH(Table1[[#This Row],[Complexidade]],Auxiliar!$D$4:$F$4,0))</f>
        <v>2</v>
      </c>
      <c r="P449" s="2" t="s">
        <v>1266</v>
      </c>
      <c r="Q449" s="2" t="s">
        <v>1263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1247</v>
      </c>
      <c r="L450" s="29" t="s">
        <v>1252</v>
      </c>
      <c r="M450" s="21" t="s">
        <v>1253</v>
      </c>
      <c r="N450" s="48">
        <v>45485</v>
      </c>
      <c r="O450" s="21">
        <f>INDEX(Auxiliar!$D$5:$F$13,MATCH(Table1[[#This Row],[Tipologia_Testes]],Auxiliar!$B$5:$B$13,0),MATCH(Table1[[#This Row],[Complexidade]],Auxiliar!$D$4:$F$4,0))</f>
        <v>2</v>
      </c>
      <c r="P450" s="2" t="s">
        <v>1266</v>
      </c>
      <c r="Q450" s="2" t="s">
        <v>1263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1249</v>
      </c>
      <c r="L451" s="29" t="s">
        <v>1252</v>
      </c>
      <c r="M451" s="21" t="s">
        <v>1253</v>
      </c>
      <c r="N451" s="48">
        <v>45485</v>
      </c>
      <c r="O451" s="21">
        <f>INDEX(Auxiliar!$D$5:$F$13,MATCH(Table1[[#This Row],[Tipologia_Testes]],Auxiliar!$B$5:$B$13,0),MATCH(Table1[[#This Row],[Complexidade]],Auxiliar!$D$4:$F$4,0))</f>
        <v>0.1</v>
      </c>
      <c r="P451" s="2" t="s">
        <v>1266</v>
      </c>
      <c r="Q451" s="2" t="s">
        <v>1263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1246</v>
      </c>
      <c r="L452" s="29" t="s">
        <v>1244</v>
      </c>
      <c r="M452" s="21" t="s">
        <v>1254</v>
      </c>
      <c r="N452" s="48">
        <v>45499</v>
      </c>
      <c r="O452" s="21">
        <f>INDEX(Auxiliar!$D$5:$F$13,MATCH(Table1[[#This Row],[Tipologia_Testes]],Auxiliar!$B$5:$B$13,0),MATCH(Table1[[#This Row],[Complexidade]],Auxiliar!$D$4:$F$4,0))</f>
        <v>4</v>
      </c>
      <c r="P452" s="2" t="s">
        <v>1266</v>
      </c>
      <c r="Q452" s="2" t="s">
        <v>1263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1247</v>
      </c>
      <c r="L453" s="29" t="s">
        <v>1244</v>
      </c>
      <c r="M453" s="21" t="s">
        <v>1254</v>
      </c>
      <c r="N453" s="48">
        <v>45499</v>
      </c>
      <c r="O453" s="21">
        <f>INDEX(Auxiliar!$D$5:$F$13,MATCH(Table1[[#This Row],[Tipologia_Testes]],Auxiliar!$B$5:$B$13,0),MATCH(Table1[[#This Row],[Complexidade]],Auxiliar!$D$4:$F$4,0))</f>
        <v>4</v>
      </c>
      <c r="P453" s="2" t="s">
        <v>1266</v>
      </c>
      <c r="Q453" s="2" t="s">
        <v>1263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1249</v>
      </c>
      <c r="L454" s="29" t="s">
        <v>1244</v>
      </c>
      <c r="M454" s="21" t="s">
        <v>1254</v>
      </c>
      <c r="N454" s="48">
        <v>45499</v>
      </c>
      <c r="O454" s="21">
        <f>INDEX(Auxiliar!$D$5:$F$13,MATCH(Table1[[#This Row],[Tipologia_Testes]],Auxiliar!$B$5:$B$13,0),MATCH(Table1[[#This Row],[Complexidade]],Auxiliar!$D$4:$F$4,0))</f>
        <v>0.1</v>
      </c>
      <c r="P454" s="2" t="s">
        <v>1266</v>
      </c>
      <c r="Q454" s="2" t="s">
        <v>1263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1246</v>
      </c>
      <c r="L467" s="29" t="s">
        <v>1252</v>
      </c>
      <c r="M467" s="21" t="s">
        <v>1253</v>
      </c>
      <c r="N467" s="48">
        <v>45485</v>
      </c>
      <c r="O467" s="21">
        <f>INDEX(Auxiliar!$D$5:$F$13,MATCH(Table1[[#This Row],[Tipologia_Testes]],Auxiliar!$B$5:$B$13,0),MATCH(Table1[[#This Row],[Complexidade]],Auxiliar!$D$4:$F$4,0))</f>
        <v>2</v>
      </c>
      <c r="P467" s="2" t="s">
        <v>1266</v>
      </c>
      <c r="Q467" s="2" t="s">
        <v>1263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1247</v>
      </c>
      <c r="L468" s="29" t="s">
        <v>1252</v>
      </c>
      <c r="M468" s="21" t="s">
        <v>1253</v>
      </c>
      <c r="N468" s="48">
        <v>45485</v>
      </c>
      <c r="O468" s="21">
        <f>INDEX(Auxiliar!$D$5:$F$13,MATCH(Table1[[#This Row],[Tipologia_Testes]],Auxiliar!$B$5:$B$13,0),MATCH(Table1[[#This Row],[Complexidade]],Auxiliar!$D$4:$F$4,0))</f>
        <v>2</v>
      </c>
      <c r="P468" s="2" t="s">
        <v>1266</v>
      </c>
      <c r="Q468" s="2" t="s">
        <v>1263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1249</v>
      </c>
      <c r="L469" s="29" t="s">
        <v>1252</v>
      </c>
      <c r="M469" s="21" t="s">
        <v>1253</v>
      </c>
      <c r="N469" s="48">
        <v>45485</v>
      </c>
      <c r="O469" s="21">
        <f>INDEX(Auxiliar!$D$5:$F$13,MATCH(Table1[[#This Row],[Tipologia_Testes]],Auxiliar!$B$5:$B$13,0),MATCH(Table1[[#This Row],[Complexidade]],Auxiliar!$D$4:$F$4,0))</f>
        <v>0.1</v>
      </c>
      <c r="P469" s="2" t="s">
        <v>1266</v>
      </c>
      <c r="Q469" s="2" t="s">
        <v>1263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1246</v>
      </c>
      <c r="L470" s="29" t="s">
        <v>1244</v>
      </c>
      <c r="M470" s="21" t="s">
        <v>1254</v>
      </c>
      <c r="N470" s="48">
        <v>45505</v>
      </c>
      <c r="O470" s="21">
        <f>INDEX(Auxiliar!$D$5:$F$13,MATCH(Table1[[#This Row],[Tipologia_Testes]],Auxiliar!$B$5:$B$13,0),MATCH(Table1[[#This Row],[Complexidade]],Auxiliar!$D$4:$F$4,0))</f>
        <v>4</v>
      </c>
      <c r="P470" s="2"/>
      <c r="Q470" s="2" t="s">
        <v>1263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1247</v>
      </c>
      <c r="L471" s="29" t="s">
        <v>1244</v>
      </c>
      <c r="M471" s="21" t="s">
        <v>1254</v>
      </c>
      <c r="N471" s="48">
        <v>45505</v>
      </c>
      <c r="O471" s="21">
        <f>INDEX(Auxiliar!$D$5:$F$13,MATCH(Table1[[#This Row],[Tipologia_Testes]],Auxiliar!$B$5:$B$13,0),MATCH(Table1[[#This Row],[Complexidade]],Auxiliar!$D$4:$F$4,0))</f>
        <v>4</v>
      </c>
      <c r="P471" s="2"/>
      <c r="Q471" s="2" t="s">
        <v>1263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1249</v>
      </c>
      <c r="L472" s="29" t="s">
        <v>1244</v>
      </c>
      <c r="M472" s="21" t="s">
        <v>1254</v>
      </c>
      <c r="N472" s="48">
        <v>45505</v>
      </c>
      <c r="O472" s="21">
        <f>INDEX(Auxiliar!$D$5:$F$13,MATCH(Table1[[#This Row],[Tipologia_Testes]],Auxiliar!$B$5:$B$13,0),MATCH(Table1[[#This Row],[Complexidade]],Auxiliar!$D$4:$F$4,0))</f>
        <v>0.1</v>
      </c>
      <c r="P472" s="2"/>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1246</v>
      </c>
      <c r="L473" s="29" t="s">
        <v>1264</v>
      </c>
      <c r="M473" s="21" t="s">
        <v>1254</v>
      </c>
      <c r="N473" s="48">
        <v>45485</v>
      </c>
      <c r="O473" s="21">
        <f>INDEX(Auxiliar!$D$5:$F$13,MATCH(Table1[[#This Row],[Tipologia_Testes]],Auxiliar!$B$5:$B$13,0),MATCH(Table1[[#This Row],[Complexidade]],Auxiliar!$D$4:$F$4,0))</f>
        <v>4</v>
      </c>
      <c r="P473" s="2" t="s">
        <v>1272</v>
      </c>
      <c r="Q473" s="2" t="s">
        <v>1263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1246</v>
      </c>
      <c r="L474" s="29" t="s">
        <v>1252</v>
      </c>
      <c r="M474" s="21" t="s">
        <v>1253</v>
      </c>
      <c r="N474" s="48">
        <v>45485</v>
      </c>
      <c r="O474" s="21">
        <f>INDEX(Auxiliar!$D$5:$F$13,MATCH(Table1[[#This Row],[Tipologia_Testes]],Auxiliar!$B$5:$B$13,0),MATCH(Table1[[#This Row],[Complexidade]],Auxiliar!$D$4:$F$4,0))</f>
        <v>2</v>
      </c>
      <c r="P474" s="2"/>
      <c r="Q474" s="2" t="s">
        <v>1263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1247</v>
      </c>
      <c r="L475" s="29" t="s">
        <v>1252</v>
      </c>
      <c r="M475" s="21" t="s">
        <v>1253</v>
      </c>
      <c r="N475" s="48">
        <v>45485</v>
      </c>
      <c r="O475" s="21">
        <f>INDEX(Auxiliar!$D$5:$F$13,MATCH(Table1[[#This Row],[Tipologia_Testes]],Auxiliar!$B$5:$B$13,0),MATCH(Table1[[#This Row],[Complexidade]],Auxiliar!$D$4:$F$4,0))</f>
        <v>2</v>
      </c>
      <c r="P475" s="2"/>
      <c r="Q475" s="2" t="s">
        <v>1263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1249</v>
      </c>
      <c r="L476" s="29" t="s">
        <v>1252</v>
      </c>
      <c r="M476" s="21" t="s">
        <v>1253</v>
      </c>
      <c r="N476" s="48">
        <v>45485</v>
      </c>
      <c r="O476" s="21">
        <f>INDEX(Auxiliar!$D$5:$F$13,MATCH(Table1[[#This Row],[Tipologia_Testes]],Auxiliar!$B$5:$B$13,0),MATCH(Table1[[#This Row],[Complexidade]],Auxiliar!$D$4:$F$4,0))</f>
        <v>0.1</v>
      </c>
      <c r="P476" s="2"/>
      <c r="Q476" s="2" t="s">
        <v>1263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1243</v>
      </c>
      <c r="L492" s="29" t="s">
        <v>1252</v>
      </c>
      <c r="M492" s="21" t="s">
        <v>1253</v>
      </c>
      <c r="N492" s="48">
        <v>45505</v>
      </c>
      <c r="O492" s="21">
        <f>INDEX(Auxiliar!$D$5:$F$13,MATCH(Table1[[#This Row],[Tipologia_Testes]],Auxiliar!$B$5:$B$13,0),MATCH(Table1[[#This Row],[Complexidade]],Auxiliar!$D$4:$F$4,0))</f>
        <v>8</v>
      </c>
      <c r="P492" s="23" t="s">
        <v>1275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1246</v>
      </c>
      <c r="L493" s="29" t="s">
        <v>1252</v>
      </c>
      <c r="M493" s="21" t="s">
        <v>1253</v>
      </c>
      <c r="N493" s="48">
        <v>45485</v>
      </c>
      <c r="O493" s="21">
        <f>INDEX(Auxiliar!$D$5:$F$13,MATCH(Table1[[#This Row],[Tipologia_Testes]],Auxiliar!$B$5:$B$13,0),MATCH(Table1[[#This Row],[Complexidade]],Auxiliar!$D$4:$F$4,0))</f>
        <v>2</v>
      </c>
      <c r="P493" s="2" t="s">
        <v>1266</v>
      </c>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1247</v>
      </c>
      <c r="L494" s="29" t="s">
        <v>1252</v>
      </c>
      <c r="M494" s="21" t="s">
        <v>1253</v>
      </c>
      <c r="N494" s="48">
        <v>45485</v>
      </c>
      <c r="O494" s="21">
        <f>INDEX(Auxiliar!$D$5:$F$13,MATCH(Table1[[#This Row],[Tipologia_Testes]],Auxiliar!$B$5:$B$13,0),MATCH(Table1[[#This Row],[Complexidade]],Auxiliar!$D$4:$F$4,0))</f>
        <v>2</v>
      </c>
      <c r="P494" s="2" t="s">
        <v>1266</v>
      </c>
      <c r="Q494" s="2" t="s">
        <v>1263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1249</v>
      </c>
      <c r="L495" s="29" t="s">
        <v>1252</v>
      </c>
      <c r="M495" s="21" t="s">
        <v>1253</v>
      </c>
      <c r="N495" s="48">
        <v>45485</v>
      </c>
      <c r="O495" s="21">
        <f>INDEX(Auxiliar!$D$5:$F$13,MATCH(Table1[[#This Row],[Tipologia_Testes]],Auxiliar!$B$5:$B$13,0),MATCH(Table1[[#This Row],[Complexidade]],Auxiliar!$D$4:$F$4,0))</f>
        <v>0.1</v>
      </c>
      <c r="P495" s="2" t="s">
        <v>1266</v>
      </c>
      <c r="Q495" s="2" t="s">
        <v>1263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1921</v>
      </c>
      <c r="J505" s="43">
        <f>VLOOKUP(Table1[[#This Row],[Status]],Auxiliar!$B$16:$C$24,2,0)</f>
        <v>2</v>
      </c>
      <c r="K505" s="2" t="s">
        <v>1246</v>
      </c>
      <c r="L505" s="29" t="s">
        <v>1252</v>
      </c>
      <c r="M505" s="21" t="s">
        <v>1245</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1921</v>
      </c>
      <c r="J506" s="43">
        <f>VLOOKUP(Table1[[#This Row],[Status]],Auxiliar!$B$16:$C$24,2,0)</f>
        <v>2</v>
      </c>
      <c r="K506" s="2" t="s">
        <v>1247</v>
      </c>
      <c r="L506" s="29" t="s">
        <v>1252</v>
      </c>
      <c r="M506" s="21" t="s">
        <v>1245</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1921</v>
      </c>
      <c r="J507" s="43">
        <f>VLOOKUP(Table1[[#This Row],[Status]],Auxiliar!$B$16:$C$24,2,0)</f>
        <v>2</v>
      </c>
      <c r="K507" s="2" t="s">
        <v>1249</v>
      </c>
      <c r="L507" s="29" t="s">
        <v>1252</v>
      </c>
      <c r="M507" s="21" t="s">
        <v>1245</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1921</v>
      </c>
      <c r="J508" s="43">
        <f>VLOOKUP(Table1[[#This Row],[Status]],Auxiliar!$B$16:$C$24,2,0)</f>
        <v>2</v>
      </c>
      <c r="K508" s="2" t="s">
        <v>1246</v>
      </c>
      <c r="L508" s="29" t="s">
        <v>1252</v>
      </c>
      <c r="M508" s="21" t="s">
        <v>1245</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1921</v>
      </c>
      <c r="J509" s="43">
        <f>VLOOKUP(Table1[[#This Row],[Status]],Auxiliar!$B$16:$C$24,2,0)</f>
        <v>2</v>
      </c>
      <c r="K509" s="2" t="s">
        <v>1247</v>
      </c>
      <c r="L509" s="29" t="s">
        <v>1252</v>
      </c>
      <c r="M509" s="21" t="s">
        <v>1245</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1921</v>
      </c>
      <c r="J510" s="43">
        <f>VLOOKUP(Table1[[#This Row],[Status]],Auxiliar!$B$16:$C$24,2,0)</f>
        <v>2</v>
      </c>
      <c r="K510" s="2" t="s">
        <v>1249</v>
      </c>
      <c r="L510" s="29" t="s">
        <v>1252</v>
      </c>
      <c r="M510" s="21" t="s">
        <v>1245</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1921</v>
      </c>
      <c r="J511" s="43">
        <f>VLOOKUP(Table1[[#This Row],[Status]],Auxiliar!$B$16:$C$24,2,0)</f>
        <v>2</v>
      </c>
      <c r="K511" s="2" t="s">
        <v>1246</v>
      </c>
      <c r="L511" s="29" t="s">
        <v>1244</v>
      </c>
      <c r="M511" s="21" t="s">
        <v>1253</v>
      </c>
      <c r="N511" s="48">
        <v>45632</v>
      </c>
      <c r="O511" s="21">
        <f>INDEX(Auxiliar!$D$5:$F$13,MATCH(Table1[[#This Row],[Tipologia_Testes]],Auxiliar!$B$5:$B$13,0),MATCH(Table1[[#This Row],[Complexidade]],Auxiliar!$D$4:$F$4,0))</f>
        <v>2</v>
      </c>
      <c r="P511" s="23" t="s">
        <v>1276</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1921</v>
      </c>
      <c r="J512" s="43">
        <f>VLOOKUP(Table1[[#This Row],[Status]],Auxiliar!$B$16:$C$24,2,0)</f>
        <v>2</v>
      </c>
      <c r="K512" s="2" t="s">
        <v>1247</v>
      </c>
      <c r="L512" s="29" t="s">
        <v>1244</v>
      </c>
      <c r="M512" s="21" t="s">
        <v>1253</v>
      </c>
      <c r="N512" s="48">
        <v>45632</v>
      </c>
      <c r="O512" s="21">
        <f>INDEX(Auxiliar!$D$5:$F$13,MATCH(Table1[[#This Row],[Tipologia_Testes]],Auxiliar!$B$5:$B$13,0),MATCH(Table1[[#This Row],[Complexidade]],Auxiliar!$D$4:$F$4,0))</f>
        <v>2</v>
      </c>
      <c r="P512" s="23" t="s">
        <v>1276</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1921</v>
      </c>
      <c r="J513" s="43">
        <f>VLOOKUP(Table1[[#This Row],[Status]],Auxiliar!$B$16:$C$24,2,0)</f>
        <v>2</v>
      </c>
      <c r="K513" s="2" t="s">
        <v>1249</v>
      </c>
      <c r="L513" s="29" t="s">
        <v>1244</v>
      </c>
      <c r="M513" s="21" t="s">
        <v>1253</v>
      </c>
      <c r="N513" s="48">
        <v>45632</v>
      </c>
      <c r="O513" s="21">
        <f>INDEX(Auxiliar!$D$5:$F$13,MATCH(Table1[[#This Row],[Tipologia_Testes]],Auxiliar!$B$5:$B$13,0),MATCH(Table1[[#This Row],[Complexidade]],Auxiliar!$D$4:$F$4,0))</f>
        <v>0.1</v>
      </c>
      <c r="P513" s="23" t="s">
        <v>1276</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1921</v>
      </c>
      <c r="J514" s="43">
        <f>VLOOKUP(Table1[[#This Row],[Status]],Auxiliar!$B$16:$C$24,2,0)</f>
        <v>2</v>
      </c>
      <c r="K514" s="2" t="s">
        <v>1246</v>
      </c>
      <c r="L514" s="29" t="s">
        <v>1244</v>
      </c>
      <c r="M514" s="21" t="s">
        <v>1253</v>
      </c>
      <c r="N514" s="48">
        <v>45632</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1921</v>
      </c>
      <c r="J515" s="43">
        <f>VLOOKUP(Table1[[#This Row],[Status]],Auxiliar!$B$16:$C$24,2,0)</f>
        <v>2</v>
      </c>
      <c r="K515" s="2" t="s">
        <v>1247</v>
      </c>
      <c r="L515" s="29" t="s">
        <v>1244</v>
      </c>
      <c r="M515" s="21" t="s">
        <v>1253</v>
      </c>
      <c r="N515" s="48">
        <v>45632</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1921</v>
      </c>
      <c r="J516" s="43">
        <f>VLOOKUP(Table1[[#This Row],[Status]],Auxiliar!$B$16:$C$24,2,0)</f>
        <v>2</v>
      </c>
      <c r="K516" s="2" t="s">
        <v>1249</v>
      </c>
      <c r="L516" s="29" t="s">
        <v>1244</v>
      </c>
      <c r="M516" s="21" t="s">
        <v>1253</v>
      </c>
      <c r="N516" s="48">
        <v>45632</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1246</v>
      </c>
      <c r="L517" s="29" t="s">
        <v>1244</v>
      </c>
      <c r="M517" s="21" t="s">
        <v>1253</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1247</v>
      </c>
      <c r="L518" s="29" t="s">
        <v>1244</v>
      </c>
      <c r="M518" s="21" t="s">
        <v>1253</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1249</v>
      </c>
      <c r="L519" s="29" t="s">
        <v>1244</v>
      </c>
      <c r="M519" s="21" t="s">
        <v>1253</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1246</v>
      </c>
      <c r="L523" s="29" t="s">
        <v>1252</v>
      </c>
      <c r="M523" s="21" t="s">
        <v>1253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1247</v>
      </c>
      <c r="L524" s="29" t="s">
        <v>1252</v>
      </c>
      <c r="M524" s="21" t="s">
        <v>1253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1249</v>
      </c>
      <c r="L525" s="29" t="s">
        <v>1252</v>
      </c>
      <c r="M525" s="21" t="s">
        <v>1253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1246</v>
      </c>
      <c r="L526" s="29" t="s">
        <v>1252</v>
      </c>
      <c r="M526" s="21" t="s">
        <v>1253</v>
      </c>
      <c r="N526" s="48">
        <v>45485</v>
      </c>
      <c r="O526" s="21">
        <f>INDEX(Auxiliar!$D$5:$F$13,MATCH(Table1[[#This Row],[Tipologia_Testes]],Auxiliar!$B$5:$B$13,0),MATCH(Table1[[#This Row],[Complexidade]],Auxiliar!$D$4:$F$4,0))</f>
        <v>2</v>
      </c>
      <c r="P526" s="2"/>
      <c r="Q526" s="2" t="s">
        <v>1263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1247</v>
      </c>
      <c r="L527" s="29" t="s">
        <v>1252</v>
      </c>
      <c r="M527" s="21" t="s">
        <v>1253</v>
      </c>
      <c r="N527" s="48">
        <v>45485</v>
      </c>
      <c r="O527" s="21">
        <f>INDEX(Auxiliar!$D$5:$F$13,MATCH(Table1[[#This Row],[Tipologia_Testes]],Auxiliar!$B$5:$B$13,0),MATCH(Table1[[#This Row],[Complexidade]],Auxiliar!$D$4:$F$4,0))</f>
        <v>2</v>
      </c>
      <c r="P527" s="2"/>
      <c r="Q527" s="2" t="s">
        <v>1263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1249</v>
      </c>
      <c r="L528" s="29" t="s">
        <v>1252</v>
      </c>
      <c r="M528" s="21" t="s">
        <v>1253</v>
      </c>
      <c r="N528" s="48">
        <v>45485</v>
      </c>
      <c r="O528" s="21">
        <f>INDEX(Auxiliar!$D$5:$F$13,MATCH(Table1[[#This Row],[Tipologia_Testes]],Auxiliar!$B$5:$B$13,0),MATCH(Table1[[#This Row],[Complexidade]],Auxiliar!$D$4:$F$4,0))</f>
        <v>0.1</v>
      </c>
      <c r="P528" s="2"/>
      <c r="Q528" s="2" t="s">
        <v>1263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1246</v>
      </c>
      <c r="L529" s="29" t="s">
        <v>1244</v>
      </c>
      <c r="M529" s="21" t="s">
        <v>1254</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1247</v>
      </c>
      <c r="L530" s="29" t="s">
        <v>1244</v>
      </c>
      <c r="M530" s="21" t="s">
        <v>1254</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1249</v>
      </c>
      <c r="L531" s="29" t="s">
        <v>1244</v>
      </c>
      <c r="M531" s="21" t="s">
        <v>1254</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1246</v>
      </c>
      <c r="L535" s="29" t="s">
        <v>1252</v>
      </c>
      <c r="M535" s="21" t="s">
        <v>1253</v>
      </c>
      <c r="N535" s="48">
        <v>45485</v>
      </c>
      <c r="O535" s="21">
        <f>INDEX(Auxiliar!$D$5:$F$13,MATCH(Table1[[#This Row],[Tipologia_Testes]],Auxiliar!$B$5:$B$13,0),MATCH(Table1[[#This Row],[Complexidade]],Auxiliar!$D$4:$F$4,0))</f>
        <v>2</v>
      </c>
      <c r="P535" s="23"/>
      <c r="Q535" s="2" t="s">
        <v>1263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1247</v>
      </c>
      <c r="L536" s="29" t="s">
        <v>1252</v>
      </c>
      <c r="M536" s="21" t="s">
        <v>1253</v>
      </c>
      <c r="N536" s="48">
        <v>45485</v>
      </c>
      <c r="O536" s="21">
        <f>INDEX(Auxiliar!$D$5:$F$13,MATCH(Table1[[#This Row],[Tipologia_Testes]],Auxiliar!$B$5:$B$13,0),MATCH(Table1[[#This Row],[Complexidade]],Auxiliar!$D$4:$F$4,0))</f>
        <v>2</v>
      </c>
      <c r="P536" s="23"/>
      <c r="Q536" s="2" t="s">
        <v>1263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1249</v>
      </c>
      <c r="L537" s="29" t="s">
        <v>1252</v>
      </c>
      <c r="M537" s="21" t="s">
        <v>1253</v>
      </c>
      <c r="N537" s="48">
        <v>45485</v>
      </c>
      <c r="O537" s="21">
        <f>INDEX(Auxiliar!$D$5:$F$13,MATCH(Table1[[#This Row],[Tipologia_Testes]],Auxiliar!$B$5:$B$13,0),MATCH(Table1[[#This Row],[Complexidade]],Auxiliar!$D$4:$F$4,0))</f>
        <v>0.1</v>
      </c>
      <c r="P537" s="23"/>
      <c r="Q537" s="2" t="s">
        <v>1263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1246</v>
      </c>
      <c r="L538" s="29" t="s">
        <v>1244</v>
      </c>
      <c r="M538" s="21" t="s">
        <v>1253</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1247</v>
      </c>
      <c r="L539" s="29" t="s">
        <v>1244</v>
      </c>
      <c r="M539" s="21" t="s">
        <v>1253</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1249</v>
      </c>
      <c r="L540" s="29" t="s">
        <v>1244</v>
      </c>
      <c r="M540" s="21" t="s">
        <v>1253</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1246</v>
      </c>
      <c r="L544" s="29" t="s">
        <v>1244</v>
      </c>
      <c r="M544" s="21" t="s">
        <v>1253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1247</v>
      </c>
      <c r="L545" s="29" t="s">
        <v>1244</v>
      </c>
      <c r="M545" s="21" t="s">
        <v>1253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1249</v>
      </c>
      <c r="L546" s="29" t="s">
        <v>1244</v>
      </c>
      <c r="M546" s="21" t="s">
        <v>1253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1243</v>
      </c>
      <c r="L547" s="29" t="s">
        <v>1252</v>
      </c>
      <c r="M547" s="21" t="s">
        <v>1254</v>
      </c>
      <c r="N547" s="48">
        <v>45561</v>
      </c>
      <c r="O547" s="21">
        <f>INDEX(Auxiliar!$D$5:$F$13,MATCH(Table1[[#This Row],[Tipologia_Testes]],Auxiliar!$B$5:$B$13,0),MATCH(Table1[[#This Row],[Complexidade]],Auxiliar!$D$4:$F$4,0))</f>
        <v>8</v>
      </c>
      <c r="P547" s="23" t="s">
        <v>1277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1246</v>
      </c>
      <c r="L548" s="29" t="s">
        <v>1252</v>
      </c>
      <c r="M548" s="21" t="s">
        <v>1245</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1247</v>
      </c>
      <c r="L549" s="29" t="s">
        <v>1252</v>
      </c>
      <c r="M549" s="21" t="s">
        <v>1245</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1249</v>
      </c>
      <c r="L550" s="29" t="s">
        <v>1252</v>
      </c>
      <c r="M550" s="21" t="s">
        <v>1245</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1246</v>
      </c>
      <c r="L590" s="29" t="s">
        <v>1244</v>
      </c>
      <c r="M590" s="21" t="s">
        <v>1245</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1247</v>
      </c>
      <c r="L591" s="29" t="s">
        <v>1244</v>
      </c>
      <c r="M591" s="21" t="s">
        <v>1245</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1249</v>
      </c>
      <c r="L592" s="29" t="s">
        <v>1244</v>
      </c>
      <c r="M592" s="21" t="s">
        <v>1245</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1921</v>
      </c>
      <c r="J593" s="43">
        <f>VLOOKUP(Table1[[#This Row],[Status]],Auxiliar!$B$16:$C$24,2,0)</f>
        <v>2</v>
      </c>
      <c r="K593" s="2" t="s">
        <v>1246</v>
      </c>
      <c r="L593" s="29" t="s">
        <v>1252</v>
      </c>
      <c r="M593" s="21" t="s">
        <v>1254</v>
      </c>
      <c r="N593" s="48">
        <v>45667</v>
      </c>
      <c r="O593" s="21">
        <f>INDEX(Auxiliar!$D$5:$F$13,MATCH(Table1[[#This Row],[Tipologia_Testes]],Auxiliar!$B$5:$B$13,0),MATCH(Table1[[#This Row],[Complexidade]],Auxiliar!$D$4:$F$4,0))</f>
        <v>4</v>
      </c>
      <c r="P593" s="175" t="s">
        <v>1278</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1921</v>
      </c>
      <c r="J594" s="43">
        <f>VLOOKUP(Table1[[#This Row],[Status]],Auxiliar!$B$16:$C$24,2,0)</f>
        <v>2</v>
      </c>
      <c r="K594" s="2" t="s">
        <v>1247</v>
      </c>
      <c r="L594" s="29" t="s">
        <v>1252</v>
      </c>
      <c r="M594" s="21" t="s">
        <v>1254</v>
      </c>
      <c r="N594" s="48">
        <v>45667</v>
      </c>
      <c r="O594" s="21">
        <f>INDEX(Auxiliar!$D$5:$F$13,MATCH(Table1[[#This Row],[Tipologia_Testes]],Auxiliar!$B$5:$B$13,0),MATCH(Table1[[#This Row],[Complexidade]],Auxiliar!$D$4:$F$4,0))</f>
        <v>4</v>
      </c>
      <c r="P594" s="175" t="s">
        <v>1278</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1921</v>
      </c>
      <c r="J595" s="43">
        <f>VLOOKUP(Table1[[#This Row],[Status]],Auxiliar!$B$16:$C$24,2,0)</f>
        <v>2</v>
      </c>
      <c r="K595" s="2" t="s">
        <v>1249</v>
      </c>
      <c r="L595" s="29" t="s">
        <v>1252</v>
      </c>
      <c r="M595" s="21" t="s">
        <v>1254</v>
      </c>
      <c r="N595" s="48">
        <v>45667</v>
      </c>
      <c r="O595" s="21">
        <f>INDEX(Auxiliar!$D$5:$F$13,MATCH(Table1[[#This Row],[Tipologia_Testes]],Auxiliar!$B$5:$B$13,0),MATCH(Table1[[#This Row],[Complexidade]],Auxiliar!$D$4:$F$4,0))</f>
        <v>0.1</v>
      </c>
      <c r="P595" s="175" t="s">
        <v>1278</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1921</v>
      </c>
      <c r="J596" s="43">
        <f>VLOOKUP(Table1[[#This Row],[Status]],Auxiliar!$B$16:$C$24,2,0)</f>
        <v>2</v>
      </c>
      <c r="K596" s="2" t="s">
        <v>1246</v>
      </c>
      <c r="L596" s="29" t="s">
        <v>1252</v>
      </c>
      <c r="M596" s="21" t="s">
        <v>1254</v>
      </c>
      <c r="N596" s="48">
        <v>45667</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1921</v>
      </c>
      <c r="J597" s="43">
        <f>VLOOKUP(Table1[[#This Row],[Status]],Auxiliar!$B$16:$C$24,2,0)</f>
        <v>2</v>
      </c>
      <c r="K597" s="2" t="s">
        <v>1247</v>
      </c>
      <c r="L597" s="29" t="s">
        <v>1252</v>
      </c>
      <c r="M597" s="21" t="s">
        <v>1254</v>
      </c>
      <c r="N597" s="48">
        <v>45667</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1921</v>
      </c>
      <c r="J598" s="43">
        <f>VLOOKUP(Table1[[#This Row],[Status]],Auxiliar!$B$16:$C$24,2,0)</f>
        <v>2</v>
      </c>
      <c r="K598" s="2" t="s">
        <v>1249</v>
      </c>
      <c r="L598" s="29" t="s">
        <v>1252</v>
      </c>
      <c r="M598" s="21" t="s">
        <v>1254</v>
      </c>
      <c r="N598" s="48">
        <v>45667</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1246</v>
      </c>
      <c r="L599" s="29" t="s">
        <v>1244</v>
      </c>
      <c r="M599" s="21" t="s">
        <v>1245</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1247</v>
      </c>
      <c r="L600" s="29" t="s">
        <v>1244</v>
      </c>
      <c r="M600" s="21" t="s">
        <v>1245</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1249</v>
      </c>
      <c r="L601" s="29" t="s">
        <v>1244</v>
      </c>
      <c r="M601" s="21" t="s">
        <v>1245</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613</v>
      </c>
      <c r="J605" s="43">
        <f>VLOOKUP(Table1[[#This Row],[Status]],Auxiliar!$B$16:$C$24,2,0)</f>
        <v>1</v>
      </c>
      <c r="K605" s="2" t="s">
        <v>1246</v>
      </c>
      <c r="L605" s="29" t="s">
        <v>1252</v>
      </c>
      <c r="M605" s="21" t="s">
        <v>1253</v>
      </c>
      <c r="N605" s="48">
        <v>45667</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2</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613</v>
      </c>
      <c r="J606" s="43">
        <f>VLOOKUP(Table1[[#This Row],[Status]],Auxiliar!$B$16:$C$24,2,0)</f>
        <v>1</v>
      </c>
      <c r="K606" s="2" t="s">
        <v>1247</v>
      </c>
      <c r="L606" s="29" t="s">
        <v>1252</v>
      </c>
      <c r="M606" s="21" t="s">
        <v>1253</v>
      </c>
      <c r="N606" s="48">
        <v>45667</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2</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613</v>
      </c>
      <c r="J607" s="43">
        <f>VLOOKUP(Table1[[#This Row],[Status]],Auxiliar!$B$16:$C$24,2,0)</f>
        <v>1</v>
      </c>
      <c r="K607" s="2" t="s">
        <v>1249</v>
      </c>
      <c r="L607" s="29" t="s">
        <v>1252</v>
      </c>
      <c r="M607" s="21" t="s">
        <v>1253</v>
      </c>
      <c r="N607" s="48">
        <v>45667</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1921</v>
      </c>
      <c r="J608" s="43">
        <f>VLOOKUP(Table1[[#This Row],[Status]],Auxiliar!$B$16:$C$24,2,0)</f>
        <v>2</v>
      </c>
      <c r="K608" s="2" t="s">
        <v>1246</v>
      </c>
      <c r="L608" s="29" t="s">
        <v>1252</v>
      </c>
      <c r="M608" s="21" t="s">
        <v>1253</v>
      </c>
      <c r="N608" s="48">
        <v>45667</v>
      </c>
      <c r="O608" s="21">
        <f>INDEX(Auxiliar!$D$5:$F$13,MATCH(Table1[[#This Row],[Tipologia_Testes]],Auxiliar!$B$5:$B$13,0),MATCH(Table1[[#This Row],[Complexidade]],Auxiliar!$D$4:$F$4,0))</f>
        <v>2</v>
      </c>
      <c r="P608" s="175" t="s">
        <v>1278</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1921</v>
      </c>
      <c r="J609" s="43">
        <f>VLOOKUP(Table1[[#This Row],[Status]],Auxiliar!$B$16:$C$24,2,0)</f>
        <v>2</v>
      </c>
      <c r="K609" s="2" t="s">
        <v>1247</v>
      </c>
      <c r="L609" s="29" t="s">
        <v>1252</v>
      </c>
      <c r="M609" s="21" t="s">
        <v>1253</v>
      </c>
      <c r="N609" s="48">
        <v>45667</v>
      </c>
      <c r="O609" s="21">
        <f>INDEX(Auxiliar!$D$5:$F$13,MATCH(Table1[[#This Row],[Tipologia_Testes]],Auxiliar!$B$5:$B$13,0),MATCH(Table1[[#This Row],[Complexidade]],Auxiliar!$D$4:$F$4,0))</f>
        <v>2</v>
      </c>
      <c r="P609" s="175" t="s">
        <v>1278</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1921</v>
      </c>
      <c r="J610" s="43">
        <f>VLOOKUP(Table1[[#This Row],[Status]],Auxiliar!$B$16:$C$24,2,0)</f>
        <v>2</v>
      </c>
      <c r="K610" s="2" t="s">
        <v>1249</v>
      </c>
      <c r="L610" s="29" t="s">
        <v>1252</v>
      </c>
      <c r="M610" s="21" t="s">
        <v>1253</v>
      </c>
      <c r="N610" s="48">
        <v>45667</v>
      </c>
      <c r="O610" s="21">
        <f>INDEX(Auxiliar!$D$5:$F$13,MATCH(Table1[[#This Row],[Tipologia_Testes]],Auxiliar!$B$5:$B$13,0),MATCH(Table1[[#This Row],[Complexidade]],Auxiliar!$D$4:$F$4,0))</f>
        <v>0.1</v>
      </c>
      <c r="P610" s="175" t="s">
        <v>1278</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613</v>
      </c>
      <c r="J611" s="43">
        <f>VLOOKUP(Table1[[#This Row],[Status]],Auxiliar!$B$16:$C$24,2,0)</f>
        <v>1</v>
      </c>
      <c r="K611" s="2" t="s">
        <v>1246</v>
      </c>
      <c r="L611" s="29" t="s">
        <v>1252</v>
      </c>
      <c r="M611" s="21" t="s">
        <v>1253</v>
      </c>
      <c r="N611" s="48">
        <v>45667</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613</v>
      </c>
      <c r="J612" s="43">
        <f>VLOOKUP(Table1[[#This Row],[Status]],Auxiliar!$B$16:$C$24,2,0)</f>
        <v>1</v>
      </c>
      <c r="K612" s="2" t="s">
        <v>1247</v>
      </c>
      <c r="L612" s="29" t="s">
        <v>1252</v>
      </c>
      <c r="M612" s="21" t="s">
        <v>1253</v>
      </c>
      <c r="N612" s="48">
        <v>45667</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613</v>
      </c>
      <c r="J613" s="43">
        <f>VLOOKUP(Table1[[#This Row],[Status]],Auxiliar!$B$16:$C$24,2,0)</f>
        <v>1</v>
      </c>
      <c r="K613" s="2" t="s">
        <v>1249</v>
      </c>
      <c r="L613" s="29" t="s">
        <v>1252</v>
      </c>
      <c r="M613" s="21" t="s">
        <v>1253</v>
      </c>
      <c r="N613" s="48">
        <v>45667</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1246</v>
      </c>
      <c r="L614" s="29" t="s">
        <v>1252</v>
      </c>
      <c r="M614" s="21" t="s">
        <v>1253</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1247</v>
      </c>
      <c r="L615" s="29" t="s">
        <v>1252</v>
      </c>
      <c r="M615" s="21" t="s">
        <v>1253</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1249</v>
      </c>
      <c r="L616" s="29" t="s">
        <v>1252</v>
      </c>
      <c r="M616" s="21" t="s">
        <v>1253</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1921</v>
      </c>
      <c r="J620" s="43">
        <f>VLOOKUP(Table1[[#This Row],[Status]],Auxiliar!$B$16:$C$24,2,0)</f>
        <v>2</v>
      </c>
      <c r="K620" s="2" t="s">
        <v>1246</v>
      </c>
      <c r="L620" s="29" t="s">
        <v>1252</v>
      </c>
      <c r="M620" s="21" t="s">
        <v>1253</v>
      </c>
      <c r="N620" s="48">
        <v>45668</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1921</v>
      </c>
      <c r="J621" s="43">
        <f>VLOOKUP(Table1[[#This Row],[Status]],Auxiliar!$B$16:$C$24,2,0)</f>
        <v>2</v>
      </c>
      <c r="K621" s="2" t="s">
        <v>1247</v>
      </c>
      <c r="L621" s="29" t="s">
        <v>1252</v>
      </c>
      <c r="M621" s="21" t="s">
        <v>1253</v>
      </c>
      <c r="N621" s="48">
        <v>45668</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1921</v>
      </c>
      <c r="J622" s="43">
        <f>VLOOKUP(Table1[[#This Row],[Status]],Auxiliar!$B$16:$C$24,2,0)</f>
        <v>2</v>
      </c>
      <c r="K622" s="2" t="s">
        <v>1249</v>
      </c>
      <c r="L622" s="29" t="s">
        <v>1252</v>
      </c>
      <c r="M622" s="21" t="s">
        <v>1253</v>
      </c>
      <c r="N622" s="48">
        <v>45668</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1921</v>
      </c>
      <c r="J623" s="43">
        <f>VLOOKUP(Table1[[#This Row],[Status]],Auxiliar!$B$16:$C$24,2,0)</f>
        <v>2</v>
      </c>
      <c r="K623" s="2" t="s">
        <v>1246</v>
      </c>
      <c r="L623" s="29" t="s">
        <v>1252</v>
      </c>
      <c r="M623" s="21" t="s">
        <v>1253</v>
      </c>
      <c r="N623" s="48">
        <v>45668</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1921</v>
      </c>
      <c r="J624" s="43">
        <f>VLOOKUP(Table1[[#This Row],[Status]],Auxiliar!$B$16:$C$24,2,0)</f>
        <v>2</v>
      </c>
      <c r="K624" s="2" t="s">
        <v>1247</v>
      </c>
      <c r="L624" s="29" t="s">
        <v>1252</v>
      </c>
      <c r="M624" s="21" t="s">
        <v>1253</v>
      </c>
      <c r="N624" s="48">
        <v>45668</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1921</v>
      </c>
      <c r="J625" s="43">
        <f>VLOOKUP(Table1[[#This Row],[Status]],Auxiliar!$B$16:$C$24,2,0)</f>
        <v>2</v>
      </c>
      <c r="K625" s="2" t="s">
        <v>1249</v>
      </c>
      <c r="L625" s="29" t="s">
        <v>1252</v>
      </c>
      <c r="M625" s="21" t="s">
        <v>1253</v>
      </c>
      <c r="N625" s="48">
        <v>45668</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1921</v>
      </c>
      <c r="J626" s="43">
        <f>VLOOKUP(Table1[[#This Row],[Status]],Auxiliar!$B$16:$C$24,2,0)</f>
        <v>2</v>
      </c>
      <c r="K626" s="2" t="s">
        <v>1246</v>
      </c>
      <c r="L626" s="29" t="s">
        <v>1252</v>
      </c>
      <c r="M626" s="21" t="s">
        <v>1253</v>
      </c>
      <c r="N626" s="48">
        <v>45668</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1921</v>
      </c>
      <c r="J627" s="43">
        <f>VLOOKUP(Table1[[#This Row],[Status]],Auxiliar!$B$16:$C$24,2,0)</f>
        <v>2</v>
      </c>
      <c r="K627" s="2" t="s">
        <v>1247</v>
      </c>
      <c r="L627" s="29" t="s">
        <v>1252</v>
      </c>
      <c r="M627" s="21" t="s">
        <v>1253</v>
      </c>
      <c r="N627" s="48">
        <v>45668</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1921</v>
      </c>
      <c r="J628" s="43">
        <f>VLOOKUP(Table1[[#This Row],[Status]],Auxiliar!$B$16:$C$24,2,0)</f>
        <v>2</v>
      </c>
      <c r="K628" s="2" t="s">
        <v>1249</v>
      </c>
      <c r="L628" s="29" t="s">
        <v>1252</v>
      </c>
      <c r="M628" s="21" t="s">
        <v>1253</v>
      </c>
      <c r="N628" s="48">
        <v>45668</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1246</v>
      </c>
      <c r="L629" s="29" t="s">
        <v>1252</v>
      </c>
      <c r="M629" s="21" t="s">
        <v>1253</v>
      </c>
      <c r="N629" s="48">
        <v>45485</v>
      </c>
      <c r="O629" s="21">
        <f>INDEX(Auxiliar!$D$5:$F$13,MATCH(Table1[[#This Row],[Tipologia_Testes]],Auxiliar!$B$5:$B$13,0),MATCH(Table1[[#This Row],[Complexidade]],Auxiliar!$D$4:$F$4,0))</f>
        <v>2</v>
      </c>
      <c r="P629" s="2"/>
      <c r="Q629" s="2" t="s">
        <v>1263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1247</v>
      </c>
      <c r="L630" s="29" t="s">
        <v>1252</v>
      </c>
      <c r="M630" s="21" t="s">
        <v>1253</v>
      </c>
      <c r="N630" s="48">
        <v>45485</v>
      </c>
      <c r="O630" s="21">
        <f>INDEX(Auxiliar!$D$5:$F$13,MATCH(Table1[[#This Row],[Tipologia_Testes]],Auxiliar!$B$5:$B$13,0),MATCH(Table1[[#This Row],[Complexidade]],Auxiliar!$D$4:$F$4,0))</f>
        <v>2</v>
      </c>
      <c r="P630" s="2"/>
      <c r="Q630" s="2" t="s">
        <v>1263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1249</v>
      </c>
      <c r="L631" s="29" t="s">
        <v>1252</v>
      </c>
      <c r="M631" s="21" t="s">
        <v>1253</v>
      </c>
      <c r="N631" s="48">
        <v>45485</v>
      </c>
      <c r="O631" s="21">
        <f>INDEX(Auxiliar!$D$5:$F$13,MATCH(Table1[[#This Row],[Tipologia_Testes]],Auxiliar!$B$5:$B$13,0),MATCH(Table1[[#This Row],[Complexidade]],Auxiliar!$D$4:$F$4,0))</f>
        <v>0.1</v>
      </c>
      <c r="P631" s="2"/>
      <c r="Q631" s="2" t="s">
        <v>1263</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1921</v>
      </c>
      <c r="J632" s="43">
        <f>VLOOKUP(Table1[[#This Row],[Status]],Auxiliar!$B$16:$C$24,2,0)</f>
        <v>2</v>
      </c>
      <c r="K632" s="2" t="s">
        <v>1246</v>
      </c>
      <c r="L632" s="29" t="s">
        <v>1252</v>
      </c>
      <c r="M632" s="21" t="s">
        <v>1254</v>
      </c>
      <c r="N632" s="48">
        <v>45668</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1921</v>
      </c>
      <c r="J633" s="43">
        <f>VLOOKUP(Table1[[#This Row],[Status]],Auxiliar!$B$16:$C$24,2,0)</f>
        <v>2</v>
      </c>
      <c r="K633" s="2" t="s">
        <v>1247</v>
      </c>
      <c r="L633" s="29" t="s">
        <v>1252</v>
      </c>
      <c r="M633" s="21" t="s">
        <v>1254</v>
      </c>
      <c r="N633" s="48">
        <v>45668</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1921</v>
      </c>
      <c r="J634" s="43">
        <f>VLOOKUP(Table1[[#This Row],[Status]],Auxiliar!$B$16:$C$24,2,0)</f>
        <v>2</v>
      </c>
      <c r="K634" s="2" t="s">
        <v>1249</v>
      </c>
      <c r="L634" s="29" t="s">
        <v>1252</v>
      </c>
      <c r="M634" s="21" t="s">
        <v>1254</v>
      </c>
      <c r="N634" s="48">
        <v>45668</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1921</v>
      </c>
      <c r="J635" s="43">
        <f>VLOOKUP(Table1[[#This Row],[Status]],Auxiliar!$B$16:$C$24,2,0)</f>
        <v>2</v>
      </c>
      <c r="K635" s="2" t="s">
        <v>1246</v>
      </c>
      <c r="L635" s="29" t="s">
        <v>1252</v>
      </c>
      <c r="M635" s="21" t="s">
        <v>1254</v>
      </c>
      <c r="N635" s="48">
        <v>45668</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1921</v>
      </c>
      <c r="J636" s="43">
        <f>VLOOKUP(Table1[[#This Row],[Status]],Auxiliar!$B$16:$C$24,2,0)</f>
        <v>2</v>
      </c>
      <c r="K636" s="2" t="s">
        <v>1247</v>
      </c>
      <c r="L636" s="29" t="s">
        <v>1252</v>
      </c>
      <c r="M636" s="21" t="s">
        <v>1254</v>
      </c>
      <c r="N636" s="48">
        <v>45668</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1921</v>
      </c>
      <c r="J637" s="43">
        <f>VLOOKUP(Table1[[#This Row],[Status]],Auxiliar!$B$16:$C$24,2,0)</f>
        <v>2</v>
      </c>
      <c r="K637" s="2" t="s">
        <v>1249</v>
      </c>
      <c r="L637" s="29" t="s">
        <v>1252</v>
      </c>
      <c r="M637" s="21" t="s">
        <v>1254</v>
      </c>
      <c r="N637" s="48">
        <v>45668</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1921</v>
      </c>
      <c r="J638" s="43">
        <f>VLOOKUP(Table1[[#This Row],[Status]],Auxiliar!$B$16:$C$24,2,0)</f>
        <v>2</v>
      </c>
      <c r="K638" s="2" t="s">
        <v>1246</v>
      </c>
      <c r="L638" s="29" t="s">
        <v>1252</v>
      </c>
      <c r="M638" s="21" t="s">
        <v>1254</v>
      </c>
      <c r="N638" s="48">
        <v>45668</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1921</v>
      </c>
      <c r="J639" s="43">
        <f>VLOOKUP(Table1[[#This Row],[Status]],Auxiliar!$B$16:$C$24,2,0)</f>
        <v>2</v>
      </c>
      <c r="K639" s="2" t="s">
        <v>1247</v>
      </c>
      <c r="L639" s="29" t="s">
        <v>1252</v>
      </c>
      <c r="M639" s="21" t="s">
        <v>1254</v>
      </c>
      <c r="N639" s="48">
        <v>45668</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1921</v>
      </c>
      <c r="J640" s="43">
        <f>VLOOKUP(Table1[[#This Row],[Status]],Auxiliar!$B$16:$C$24,2,0)</f>
        <v>2</v>
      </c>
      <c r="K640" s="2" t="s">
        <v>1249</v>
      </c>
      <c r="L640" s="29" t="s">
        <v>1252</v>
      </c>
      <c r="M640" s="21" t="s">
        <v>1254</v>
      </c>
      <c r="N640" s="48">
        <v>45668</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1246</v>
      </c>
      <c r="L641" s="29" t="s">
        <v>1252</v>
      </c>
      <c r="M641" s="21" t="s">
        <v>1253</v>
      </c>
      <c r="N641" s="48">
        <v>45561</v>
      </c>
      <c r="O641" s="21">
        <f>INDEX(Auxiliar!$D$5:$F$13,MATCH(Table1[[#This Row],[Tipologia_Testes]],Auxiliar!$B$5:$B$13,0),MATCH(Table1[[#This Row],[Complexidade]],Auxiliar!$D$4:$F$4,0))</f>
        <v>2</v>
      </c>
      <c r="P641" s="2" t="s">
        <v>1279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1247</v>
      </c>
      <c r="L642" s="29" t="s">
        <v>1252</v>
      </c>
      <c r="M642" s="21" t="s">
        <v>1253</v>
      </c>
      <c r="N642" s="48">
        <v>45561</v>
      </c>
      <c r="O642" s="21">
        <f>INDEX(Auxiliar!$D$5:$F$13,MATCH(Table1[[#This Row],[Tipologia_Testes]],Auxiliar!$B$5:$B$13,0),MATCH(Table1[[#This Row],[Complexidade]],Auxiliar!$D$4:$F$4,0))</f>
        <v>2</v>
      </c>
      <c r="P642" s="2" t="s">
        <v>1279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1249</v>
      </c>
      <c r="L643" s="29" t="s">
        <v>1252</v>
      </c>
      <c r="M643" s="21" t="s">
        <v>1253</v>
      </c>
      <c r="N643" s="48">
        <v>45561</v>
      </c>
      <c r="O643" s="21">
        <f>INDEX(Auxiliar!$D$5:$F$13,MATCH(Table1[[#This Row],[Tipologia_Testes]],Auxiliar!$B$5:$B$13,0),MATCH(Table1[[#This Row],[Complexidade]],Auxiliar!$D$4:$F$4,0))</f>
        <v>0.1</v>
      </c>
      <c r="P643" s="2" t="s">
        <v>1279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1243</v>
      </c>
      <c r="L644" s="29" t="s">
        <v>1252</v>
      </c>
      <c r="M644" s="21" t="s">
        <v>1253</v>
      </c>
      <c r="N644" s="48">
        <v>45632</v>
      </c>
      <c r="O644" s="21">
        <f>INDEX(Auxiliar!$D$5:$F$13,MATCH(Table1[[#This Row],[Tipologia_Testes]],Auxiliar!$B$5:$B$13,0),MATCH(Table1[[#This Row],[Complexidade]],Auxiliar!$D$4:$F$4,0))</f>
        <v>8</v>
      </c>
      <c r="P644" s="23" t="s">
        <v>1280</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1246</v>
      </c>
      <c r="L645" s="29" t="s">
        <v>1252</v>
      </c>
      <c r="M645" s="21" t="s">
        <v>1253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1247</v>
      </c>
      <c r="L646" s="29" t="s">
        <v>1252</v>
      </c>
      <c r="M646" s="21" t="s">
        <v>1253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1249</v>
      </c>
      <c r="L647" s="29" t="s">
        <v>1252</v>
      </c>
      <c r="M647" s="21" t="s">
        <v>1253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1246</v>
      </c>
      <c r="L657" s="29" t="s">
        <v>1244</v>
      </c>
      <c r="M657" s="21" t="s">
        <v>1254</v>
      </c>
      <c r="N657" s="48">
        <v>45618</v>
      </c>
      <c r="O657" s="21">
        <f>INDEX(Auxiliar!$D$5:$F$13,MATCH(Table1[[#This Row],[Tipologia_Testes]],Auxiliar!$B$5:$B$13,0),MATCH(Table1[[#This Row],[Complexidade]],Auxiliar!$D$4:$F$4,0))</f>
        <v>4</v>
      </c>
      <c r="P657" s="2" t="s">
        <v>1281</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1247</v>
      </c>
      <c r="L658" s="29" t="s">
        <v>1244</v>
      </c>
      <c r="M658" s="21" t="s">
        <v>1254</v>
      </c>
      <c r="N658" s="48">
        <v>45618</v>
      </c>
      <c r="O658" s="21">
        <f>INDEX(Auxiliar!$D$5:$F$13,MATCH(Table1[[#This Row],[Tipologia_Testes]],Auxiliar!$B$5:$B$13,0),MATCH(Table1[[#This Row],[Complexidade]],Auxiliar!$D$4:$F$4,0))</f>
        <v>4</v>
      </c>
      <c r="P658" s="2" t="s">
        <v>1281</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1249</v>
      </c>
      <c r="L659" s="29" t="s">
        <v>1244</v>
      </c>
      <c r="M659" s="21" t="s">
        <v>1254</v>
      </c>
      <c r="N659" s="48">
        <v>45618</v>
      </c>
      <c r="O659" s="21">
        <f>INDEX(Auxiliar!$D$5:$F$13,MATCH(Table1[[#This Row],[Tipologia_Testes]],Auxiliar!$B$5:$B$13,0),MATCH(Table1[[#This Row],[Complexidade]],Auxiliar!$D$4:$F$4,0))</f>
        <v>0.1</v>
      </c>
      <c r="P659" s="2" t="s">
        <v>1281</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1246</v>
      </c>
      <c r="L660" s="29" t="s">
        <v>1244</v>
      </c>
      <c r="M660" s="21" t="s">
        <v>1254</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1247</v>
      </c>
      <c r="L661" s="29" t="s">
        <v>1244</v>
      </c>
      <c r="M661" s="21" t="s">
        <v>1254</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1249</v>
      </c>
      <c r="L662" s="29" t="s">
        <v>1244</v>
      </c>
      <c r="M662" s="21" t="s">
        <v>1254</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1246</v>
      </c>
      <c r="L666" s="29" t="s">
        <v>1244</v>
      </c>
      <c r="M666" s="21" t="s">
        <v>1254</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1247</v>
      </c>
      <c r="L667" s="29" t="s">
        <v>1244</v>
      </c>
      <c r="M667" s="21" t="s">
        <v>1254</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1249</v>
      </c>
      <c r="L668" s="29" t="s">
        <v>1244</v>
      </c>
      <c r="M668" s="21" t="s">
        <v>1254</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1246</v>
      </c>
      <c r="L669" s="29" t="s">
        <v>1252</v>
      </c>
      <c r="M669" s="21" t="s">
        <v>1253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1247</v>
      </c>
      <c r="L670" s="29" t="s">
        <v>1252</v>
      </c>
      <c r="M670" s="21" t="s">
        <v>1253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1249</v>
      </c>
      <c r="L671" s="29" t="s">
        <v>1252</v>
      </c>
      <c r="M671" s="21" t="s">
        <v>1253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1246</v>
      </c>
      <c r="L672" s="29" t="s">
        <v>1244</v>
      </c>
      <c r="M672" s="21" t="s">
        <v>1245</v>
      </c>
      <c r="N672" s="48">
        <v>45632</v>
      </c>
      <c r="O672" s="21">
        <f>INDEX(Auxiliar!$D$5:$F$13,MATCH(Table1[[#This Row],[Tipologia_Testes]],Auxiliar!$B$5:$B$13,0),MATCH(Table1[[#This Row],[Complexidade]],Auxiliar!$D$4:$F$4,0))</f>
        <v>8</v>
      </c>
      <c r="P672" s="23" t="s">
        <v>1282</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1247</v>
      </c>
      <c r="L673" s="29" t="s">
        <v>1244</v>
      </c>
      <c r="M673" s="21" t="s">
        <v>1245</v>
      </c>
      <c r="N673" s="48">
        <v>45632</v>
      </c>
      <c r="O673" s="21">
        <f>INDEX(Auxiliar!$D$5:$F$13,MATCH(Table1[[#This Row],[Tipologia_Testes]],Auxiliar!$B$5:$B$13,0),MATCH(Table1[[#This Row],[Complexidade]],Auxiliar!$D$4:$F$4,0))</f>
        <v>8</v>
      </c>
      <c r="P673" s="23" t="s">
        <v>1282</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1249</v>
      </c>
      <c r="L674" s="29" t="s">
        <v>1244</v>
      </c>
      <c r="M674" s="21" t="s">
        <v>1245</v>
      </c>
      <c r="N674" s="48">
        <v>45632</v>
      </c>
      <c r="O674" s="21">
        <f>INDEX(Auxiliar!$D$5:$F$13,MATCH(Table1[[#This Row],[Tipologia_Testes]],Auxiliar!$B$5:$B$13,0),MATCH(Table1[[#This Row],[Complexidade]],Auxiliar!$D$4:$F$4,0))</f>
        <v>0.1</v>
      </c>
      <c r="P674" s="23" t="s">
        <v>1282</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1246</v>
      </c>
      <c r="L678" s="29" t="s">
        <v>1244</v>
      </c>
      <c r="M678" s="21" t="s">
        <v>1245</v>
      </c>
      <c r="N678" s="48">
        <v>45618</v>
      </c>
      <c r="O678" s="21">
        <f>INDEX(Auxiliar!$D$5:$F$13,MATCH(Table1[[#This Row],[Tipologia_Testes]],Auxiliar!$B$5:$B$13,0),MATCH(Table1[[#This Row],[Complexidade]],Auxiliar!$D$4:$F$4,0))</f>
        <v>8</v>
      </c>
      <c r="P678" s="23" t="s">
        <v>1282</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1247</v>
      </c>
      <c r="L679" s="29" t="s">
        <v>1244</v>
      </c>
      <c r="M679" s="21" t="s">
        <v>1245</v>
      </c>
      <c r="N679" s="48">
        <v>45618</v>
      </c>
      <c r="O679" s="21">
        <f>INDEX(Auxiliar!$D$5:$F$13,MATCH(Table1[[#This Row],[Tipologia_Testes]],Auxiliar!$B$5:$B$13,0),MATCH(Table1[[#This Row],[Complexidade]],Auxiliar!$D$4:$F$4,0))</f>
        <v>8</v>
      </c>
      <c r="P679" s="23" t="s">
        <v>1282</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1249</v>
      </c>
      <c r="L680" s="29" t="s">
        <v>1244</v>
      </c>
      <c r="M680" s="21" t="s">
        <v>1245</v>
      </c>
      <c r="N680" s="48">
        <v>45618</v>
      </c>
      <c r="O680" s="21">
        <f>INDEX(Auxiliar!$D$5:$F$13,MATCH(Table1[[#This Row],[Tipologia_Testes]],Auxiliar!$B$5:$B$13,0),MATCH(Table1[[#This Row],[Complexidade]],Auxiliar!$D$4:$F$4,0))</f>
        <v>0.1</v>
      </c>
      <c r="P680" s="23" t="s">
        <v>1282</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1246</v>
      </c>
      <c r="L681" s="29" t="s">
        <v>1252</v>
      </c>
      <c r="M681" s="21" t="s">
        <v>1253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1247</v>
      </c>
      <c r="L682" s="29" t="s">
        <v>1252</v>
      </c>
      <c r="M682" s="21" t="s">
        <v>1253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1249</v>
      </c>
      <c r="L683" s="29" t="s">
        <v>1252</v>
      </c>
      <c r="M683" s="21" t="s">
        <v>1253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3</v>
      </c>
      <c r="K690" s="2" t="s">
        <v>1243</v>
      </c>
      <c r="L690" s="29" t="s">
        <v>1244</v>
      </c>
      <c r="M690" s="21" t="s">
        <v>1245</v>
      </c>
      <c r="N690" s="48">
        <v>45667</v>
      </c>
      <c r="O690" s="21">
        <f>INDEX(Auxiliar!$D$5:$F$13,MATCH(Table1[[#This Row],[Tipologia_Testes]],Auxiliar!$B$5:$B$13,0),MATCH(Table1[[#This Row],[Complexidade]],Auxiliar!$D$4:$F$4,0))</f>
        <v>8</v>
      </c>
      <c r="P690" s="23" t="s">
        <v>1283</v>
      </c>
      <c r="Q690" s="2"/>
      <c r="R690" s="152">
        <v>45563</v>
      </c>
      <c r="S690" s="152"/>
      <c r="T690" s="152">
        <v>45563</v>
      </c>
      <c r="U690" s="152">
        <v>45624</v>
      </c>
      <c r="V690" s="152">
        <v>45629</v>
      </c>
      <c r="W690" s="2">
        <f>VLOOKUP(Table1[[#This Row],[Status]],Auxiliar!$B$16:$D$24,3,0)*Table1[[#This Row],[Estimação (horas)]]</f>
        <v>4</v>
      </c>
      <c r="X690" s="2"/>
    </row>
    <row r="691" spans="2:24" ht="17.7"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3</v>
      </c>
      <c r="K691" s="2" t="s">
        <v>1246</v>
      </c>
      <c r="L691" s="29" t="s">
        <v>1252</v>
      </c>
      <c r="M691" s="21" t="s">
        <v>1253</v>
      </c>
      <c r="N691" s="48">
        <v>45667</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3</v>
      </c>
      <c r="K692" s="2" t="s">
        <v>1247</v>
      </c>
      <c r="L692" s="29" t="s">
        <v>1252</v>
      </c>
      <c r="M692" s="21" t="s">
        <v>1253</v>
      </c>
      <c r="N692" s="48">
        <v>45667</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3</v>
      </c>
      <c r="K693" s="2" t="s">
        <v>1249</v>
      </c>
      <c r="L693" s="29" t="s">
        <v>1252</v>
      </c>
      <c r="M693" s="21" t="s">
        <v>1253</v>
      </c>
      <c r="N693" s="48">
        <v>45667</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3</v>
      </c>
      <c r="K694" s="2" t="s">
        <v>1246</v>
      </c>
      <c r="L694" s="29" t="s">
        <v>1252</v>
      </c>
      <c r="M694" s="21" t="s">
        <v>1253</v>
      </c>
      <c r="N694" s="48">
        <v>45667</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3</v>
      </c>
      <c r="K695" s="2" t="s">
        <v>1247</v>
      </c>
      <c r="L695" s="29" t="s">
        <v>1252</v>
      </c>
      <c r="M695" s="21" t="s">
        <v>1253</v>
      </c>
      <c r="N695" s="48">
        <v>45667</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3</v>
      </c>
      <c r="K696" s="2" t="s">
        <v>1249</v>
      </c>
      <c r="L696" s="29" t="s">
        <v>1252</v>
      </c>
      <c r="M696" s="21" t="s">
        <v>1253</v>
      </c>
      <c r="N696" s="48">
        <v>45667</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3</v>
      </c>
      <c r="K697" s="2" t="s">
        <v>1246</v>
      </c>
      <c r="L697" s="29" t="s">
        <v>1252</v>
      </c>
      <c r="M697" s="21" t="s">
        <v>1253</v>
      </c>
      <c r="N697" s="48">
        <v>45667</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3</v>
      </c>
      <c r="K698" s="2" t="s">
        <v>1247</v>
      </c>
      <c r="L698" s="29" t="s">
        <v>1252</v>
      </c>
      <c r="M698" s="21" t="s">
        <v>1253</v>
      </c>
      <c r="N698" s="48">
        <v>45667</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3</v>
      </c>
      <c r="K699" s="2" t="s">
        <v>1249</v>
      </c>
      <c r="L699" s="29" t="s">
        <v>1252</v>
      </c>
      <c r="M699" s="21" t="s">
        <v>1253</v>
      </c>
      <c r="N699" s="48">
        <v>45667</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3</v>
      </c>
      <c r="K700" s="2" t="s">
        <v>1246</v>
      </c>
      <c r="L700" s="29" t="s">
        <v>1244</v>
      </c>
      <c r="M700" s="21" t="s">
        <v>1253</v>
      </c>
      <c r="N700" s="48">
        <v>45667</v>
      </c>
      <c r="O700" s="21">
        <f>INDEX(Auxiliar!$D$5:$F$13,MATCH(Table1[[#This Row],[Tipologia_Testes]],Auxiliar!$B$5:$B$13,0),MATCH(Table1[[#This Row],[Complexidade]],Auxiliar!$D$4:$F$4,0))</f>
        <v>2</v>
      </c>
      <c r="P700" s="2" t="s">
        <v>1284</v>
      </c>
      <c r="Q700" s="2"/>
      <c r="R700" s="152">
        <v>45563</v>
      </c>
      <c r="S700" s="152"/>
      <c r="T700" s="152">
        <v>45563</v>
      </c>
      <c r="U700" s="152">
        <v>45624</v>
      </c>
      <c r="V700" s="152">
        <v>45629</v>
      </c>
      <c r="W700" s="2">
        <f>VLOOKUP(Table1[[#This Row],[Status]],Auxiliar!$B$16:$D$24,3,0)*Table1[[#This Row],[Estimação (horas)]]</f>
        <v>1</v>
      </c>
      <c r="X700" s="2"/>
    </row>
    <row r="701" spans="2:24" ht="17.7"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3</v>
      </c>
      <c r="K701" s="2" t="s">
        <v>1247</v>
      </c>
      <c r="L701" s="29" t="s">
        <v>1244</v>
      </c>
      <c r="M701" s="21" t="s">
        <v>1253</v>
      </c>
      <c r="N701" s="48">
        <v>45667</v>
      </c>
      <c r="O701" s="21">
        <f>INDEX(Auxiliar!$D$5:$F$13,MATCH(Table1[[#This Row],[Tipologia_Testes]],Auxiliar!$B$5:$B$13,0),MATCH(Table1[[#This Row],[Complexidade]],Auxiliar!$D$4:$F$4,0))</f>
        <v>2</v>
      </c>
      <c r="P701" s="2" t="s">
        <v>1284</v>
      </c>
      <c r="Q701" s="2"/>
      <c r="R701" s="152">
        <v>45563</v>
      </c>
      <c r="S701" s="152"/>
      <c r="T701" s="152">
        <v>45563</v>
      </c>
      <c r="U701" s="152">
        <v>45624</v>
      </c>
      <c r="V701" s="152">
        <v>45629</v>
      </c>
      <c r="W701" s="2">
        <f>VLOOKUP(Table1[[#This Row],[Status]],Auxiliar!$B$16:$D$24,3,0)*Table1[[#This Row],[Estimação (horas)]]</f>
        <v>1</v>
      </c>
      <c r="X701" s="2"/>
    </row>
    <row r="702" spans="2:24" ht="17.7"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3</v>
      </c>
      <c r="K702" s="2" t="s">
        <v>1249</v>
      </c>
      <c r="L702" s="29" t="s">
        <v>1244</v>
      </c>
      <c r="M702" s="21" t="s">
        <v>1253</v>
      </c>
      <c r="N702" s="48">
        <v>45667</v>
      </c>
      <c r="O702" s="21">
        <f>INDEX(Auxiliar!$D$5:$F$13,MATCH(Table1[[#This Row],[Tipologia_Testes]],Auxiliar!$B$5:$B$13,0),MATCH(Table1[[#This Row],[Complexidade]],Auxiliar!$D$4:$F$4,0))</f>
        <v>0.1</v>
      </c>
      <c r="P702" s="2" t="s">
        <v>1284</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1246</v>
      </c>
      <c r="L703" s="29" t="s">
        <v>1285</v>
      </c>
      <c r="M703" s="21" t="s">
        <v>1253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1247</v>
      </c>
      <c r="L704" s="29" t="s">
        <v>1285</v>
      </c>
      <c r="M704" s="21" t="s">
        <v>1253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1249</v>
      </c>
      <c r="L705" s="29" t="s">
        <v>1285</v>
      </c>
      <c r="M705" s="21" t="s">
        <v>1253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3</v>
      </c>
      <c r="K706" s="2" t="s">
        <v>1246</v>
      </c>
      <c r="L706" s="29" t="s">
        <v>1244</v>
      </c>
      <c r="M706" s="21" t="s">
        <v>1245</v>
      </c>
      <c r="N706" s="48">
        <v>45667</v>
      </c>
      <c r="O706" s="21">
        <f>INDEX(Auxiliar!$D$5:$F$13,MATCH(Table1[[#This Row],[Tipologia_Testes]],Auxiliar!$B$5:$B$13,0),MATCH(Table1[[#This Row],[Complexidade]],Auxiliar!$D$4:$F$4,0))</f>
        <v>8</v>
      </c>
      <c r="P706" s="23" t="s">
        <v>1286</v>
      </c>
      <c r="Q706" s="2"/>
      <c r="R706" s="152">
        <v>45563</v>
      </c>
      <c r="S706" s="152"/>
      <c r="T706" s="152">
        <v>45563</v>
      </c>
      <c r="U706" s="152">
        <v>45624</v>
      </c>
      <c r="V706" s="152">
        <v>45629</v>
      </c>
      <c r="W706" s="2">
        <f>VLOOKUP(Table1[[#This Row],[Status]],Auxiliar!$B$16:$D$24,3,0)*Table1[[#This Row],[Estimação (horas)]]</f>
        <v>4</v>
      </c>
      <c r="X706" s="2"/>
    </row>
    <row r="707" spans="2:24" ht="139.19999999999999"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3</v>
      </c>
      <c r="K707" s="2" t="s">
        <v>1247</v>
      </c>
      <c r="L707" s="29" t="s">
        <v>1244</v>
      </c>
      <c r="M707" s="21" t="s">
        <v>1245</v>
      </c>
      <c r="N707" s="48">
        <v>45667</v>
      </c>
      <c r="O707" s="21">
        <f>INDEX(Auxiliar!$D$5:$F$13,MATCH(Table1[[#This Row],[Tipologia_Testes]],Auxiliar!$B$5:$B$13,0),MATCH(Table1[[#This Row],[Complexidade]],Auxiliar!$D$4:$F$4,0))</f>
        <v>8</v>
      </c>
      <c r="P707" s="23" t="s">
        <v>1286</v>
      </c>
      <c r="Q707" s="2"/>
      <c r="R707" s="152">
        <v>45563</v>
      </c>
      <c r="S707" s="152"/>
      <c r="T707" s="152">
        <v>45563</v>
      </c>
      <c r="U707" s="152">
        <v>45624</v>
      </c>
      <c r="V707" s="152">
        <v>45629</v>
      </c>
      <c r="W707" s="2">
        <f>VLOOKUP(Table1[[#This Row],[Status]],Auxiliar!$B$16:$D$24,3,0)*Table1[[#This Row],[Estimação (horas)]]</f>
        <v>4</v>
      </c>
      <c r="X707" s="2"/>
    </row>
    <row r="708" spans="2:24" ht="139.19999999999999"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3</v>
      </c>
      <c r="K708" s="2" t="s">
        <v>1249</v>
      </c>
      <c r="L708" s="29" t="s">
        <v>1244</v>
      </c>
      <c r="M708" s="21" t="s">
        <v>1245</v>
      </c>
      <c r="N708" s="48">
        <v>45667</v>
      </c>
      <c r="O708" s="21">
        <f>INDEX(Auxiliar!$D$5:$F$13,MATCH(Table1[[#This Row],[Tipologia_Testes]],Auxiliar!$B$5:$B$13,0),MATCH(Table1[[#This Row],[Complexidade]],Auxiliar!$D$4:$F$4,0))</f>
        <v>0.1</v>
      </c>
      <c r="P708" s="23" t="s">
        <v>1286</v>
      </c>
      <c r="Q708" s="2"/>
      <c r="R708" s="152">
        <v>45563</v>
      </c>
      <c r="S708" s="152"/>
      <c r="T708" s="152">
        <v>45563</v>
      </c>
      <c r="U708" s="152">
        <v>45624</v>
      </c>
      <c r="V708" s="152">
        <v>45629</v>
      </c>
      <c r="W708" s="2">
        <f>VLOOKUP(Table1[[#This Row],[Status]],Auxiliar!$B$16:$D$24,3,0)*Table1[[#This Row],[Estimação (horas)]]</f>
        <v>0.05</v>
      </c>
      <c r="X708" s="2"/>
    </row>
    <row r="709" spans="2:24" ht="52.2"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3</v>
      </c>
      <c r="K709" s="2" t="s">
        <v>1246</v>
      </c>
      <c r="L709" s="29" t="s">
        <v>1244</v>
      </c>
      <c r="M709" s="21" t="s">
        <v>1245</v>
      </c>
      <c r="N709" s="48">
        <v>45667</v>
      </c>
      <c r="O709" s="21">
        <f>INDEX(Auxiliar!$D$5:$F$13,MATCH(Table1[[#This Row],[Tipologia_Testes]],Auxiliar!$B$5:$B$13,0),MATCH(Table1[[#This Row],[Complexidade]],Auxiliar!$D$4:$F$4,0))</f>
        <v>8</v>
      </c>
      <c r="P709" s="23" t="s">
        <v>1287</v>
      </c>
      <c r="Q709" s="2"/>
      <c r="R709" s="152">
        <v>45562</v>
      </c>
      <c r="S709" s="152"/>
      <c r="T709" s="152">
        <v>45562</v>
      </c>
      <c r="U709" s="152">
        <v>45624</v>
      </c>
      <c r="V709" s="152">
        <v>45629</v>
      </c>
      <c r="W709" s="2">
        <f>VLOOKUP(Table1[[#This Row],[Status]],Auxiliar!$B$16:$D$24,3,0)*Table1[[#This Row],[Estimação (horas)]]</f>
        <v>4</v>
      </c>
      <c r="X709" s="2"/>
    </row>
    <row r="710" spans="2:24" ht="52.2"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3</v>
      </c>
      <c r="K710" s="2" t="s">
        <v>1247</v>
      </c>
      <c r="L710" s="29" t="s">
        <v>1244</v>
      </c>
      <c r="M710" s="21" t="s">
        <v>1245</v>
      </c>
      <c r="N710" s="48">
        <v>45667</v>
      </c>
      <c r="O710" s="21">
        <f>INDEX(Auxiliar!$D$5:$F$13,MATCH(Table1[[#This Row],[Tipologia_Testes]],Auxiliar!$B$5:$B$13,0),MATCH(Table1[[#This Row],[Complexidade]],Auxiliar!$D$4:$F$4,0))</f>
        <v>8</v>
      </c>
      <c r="P710" s="23" t="s">
        <v>1287</v>
      </c>
      <c r="Q710" s="2"/>
      <c r="R710" s="152">
        <v>45562</v>
      </c>
      <c r="S710" s="152"/>
      <c r="T710" s="152">
        <v>45562</v>
      </c>
      <c r="U710" s="152">
        <v>45624</v>
      </c>
      <c r="V710" s="152">
        <v>45629</v>
      </c>
      <c r="W710" s="2">
        <f>VLOOKUP(Table1[[#This Row],[Status]],Auxiliar!$B$16:$D$24,3,0)*Table1[[#This Row],[Estimação (horas)]]</f>
        <v>4</v>
      </c>
      <c r="X710" s="2"/>
    </row>
    <row r="711" spans="2:24" ht="52.2"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3</v>
      </c>
      <c r="K711" s="2" t="s">
        <v>1249</v>
      </c>
      <c r="L711" s="29" t="s">
        <v>1244</v>
      </c>
      <c r="M711" s="21" t="s">
        <v>1245</v>
      </c>
      <c r="N711" s="48">
        <v>45667</v>
      </c>
      <c r="O711" s="21">
        <f>INDEX(Auxiliar!$D$5:$F$13,MATCH(Table1[[#This Row],[Tipologia_Testes]],Auxiliar!$B$5:$B$13,0),MATCH(Table1[[#This Row],[Complexidade]],Auxiliar!$D$4:$F$4,0))</f>
        <v>0.1</v>
      </c>
      <c r="P711" s="23" t="s">
        <v>1287</v>
      </c>
      <c r="Q711" s="2"/>
      <c r="R711" s="152">
        <v>45562</v>
      </c>
      <c r="S711" s="152"/>
      <c r="T711" s="152">
        <v>45562</v>
      </c>
      <c r="U711" s="152">
        <v>45624</v>
      </c>
      <c r="V711" s="152">
        <v>45629</v>
      </c>
      <c r="W711" s="2">
        <f>VLOOKUP(Table1[[#This Row],[Status]],Auxiliar!$B$16:$D$24,3,0)*Table1[[#This Row],[Estimação (horas)]]</f>
        <v>0.05</v>
      </c>
      <c r="X711" s="2"/>
    </row>
    <row r="712" spans="2:24" ht="17.7"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3</v>
      </c>
      <c r="K712" s="2" t="s">
        <v>1246</v>
      </c>
      <c r="L712" s="29" t="s">
        <v>1244</v>
      </c>
      <c r="M712" s="21" t="s">
        <v>1254</v>
      </c>
      <c r="N712" s="48">
        <v>45667</v>
      </c>
      <c r="O712" s="21">
        <f>INDEX(Auxiliar!$D$5:$F$13,MATCH(Table1[[#This Row],[Tipologia_Testes]],Auxiliar!$B$5:$B$13,0),MATCH(Table1[[#This Row],[Complexidade]],Auxiliar!$D$4:$F$4,0))</f>
        <v>4</v>
      </c>
      <c r="P712" s="2" t="s">
        <v>1288</v>
      </c>
      <c r="Q712" s="2"/>
      <c r="R712" s="152">
        <v>45563</v>
      </c>
      <c r="S712" s="152"/>
      <c r="T712" s="152">
        <v>45563</v>
      </c>
      <c r="U712" s="152">
        <v>45624</v>
      </c>
      <c r="V712" s="152">
        <v>45629</v>
      </c>
      <c r="W712" s="2">
        <f>VLOOKUP(Table1[[#This Row],[Status]],Auxiliar!$B$16:$D$24,3,0)*Table1[[#This Row],[Estimação (horas)]]</f>
        <v>2</v>
      </c>
      <c r="X712" s="2"/>
    </row>
    <row r="713" spans="2:24" ht="17.7"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3</v>
      </c>
      <c r="K713" s="2" t="s">
        <v>1247</v>
      </c>
      <c r="L713" s="29" t="s">
        <v>1244</v>
      </c>
      <c r="M713" s="21" t="s">
        <v>1254</v>
      </c>
      <c r="N713" s="48">
        <v>45667</v>
      </c>
      <c r="O713" s="21">
        <f>INDEX(Auxiliar!$D$5:$F$13,MATCH(Table1[[#This Row],[Tipologia_Testes]],Auxiliar!$B$5:$B$13,0),MATCH(Table1[[#This Row],[Complexidade]],Auxiliar!$D$4:$F$4,0))</f>
        <v>4</v>
      </c>
      <c r="P713" s="2" t="s">
        <v>1288</v>
      </c>
      <c r="Q713" s="2"/>
      <c r="R713" s="152">
        <v>45563</v>
      </c>
      <c r="S713" s="152"/>
      <c r="T713" s="152">
        <v>45563</v>
      </c>
      <c r="U713" s="152">
        <v>45624</v>
      </c>
      <c r="V713" s="152">
        <v>45629</v>
      </c>
      <c r="W713" s="2">
        <f>VLOOKUP(Table1[[#This Row],[Status]],Auxiliar!$B$16:$D$24,3,0)*Table1[[#This Row],[Estimação (horas)]]</f>
        <v>2</v>
      </c>
      <c r="X713" s="2"/>
    </row>
    <row r="714" spans="2:24" ht="17.7"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3</v>
      </c>
      <c r="K714" s="2" t="s">
        <v>1249</v>
      </c>
      <c r="L714" s="29" t="s">
        <v>1244</v>
      </c>
      <c r="M714" s="21" t="s">
        <v>1254</v>
      </c>
      <c r="N714" s="48">
        <v>45667</v>
      </c>
      <c r="O714" s="21">
        <f>INDEX(Auxiliar!$D$5:$F$13,MATCH(Table1[[#This Row],[Tipologia_Testes]],Auxiliar!$B$5:$B$13,0),MATCH(Table1[[#This Row],[Complexidade]],Auxiliar!$D$4:$F$4,0))</f>
        <v>0.1</v>
      </c>
      <c r="P714" s="2" t="s">
        <v>1288</v>
      </c>
      <c r="Q714" s="2"/>
      <c r="R714" s="152">
        <v>45563</v>
      </c>
      <c r="S714" s="152"/>
      <c r="T714" s="152">
        <v>45563</v>
      </c>
      <c r="U714" s="152">
        <v>45624</v>
      </c>
      <c r="V714" s="152">
        <v>45629</v>
      </c>
      <c r="W714" s="2">
        <f>VLOOKUP(Table1[[#This Row],[Status]],Auxiliar!$B$16:$D$24,3,0)*Table1[[#This Row],[Estimação (horas)]]</f>
        <v>0.05</v>
      </c>
      <c r="X714" s="2"/>
    </row>
    <row r="715" spans="2:24" ht="17.7"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3</v>
      </c>
      <c r="K715" s="2" t="s">
        <v>1246</v>
      </c>
      <c r="L715" s="29" t="s">
        <v>1252</v>
      </c>
      <c r="M715" s="21" t="s">
        <v>1254</v>
      </c>
      <c r="N715" s="48">
        <v>45667</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3</v>
      </c>
      <c r="K716" s="2" t="s">
        <v>1247</v>
      </c>
      <c r="L716" s="29" t="s">
        <v>1252</v>
      </c>
      <c r="M716" s="21" t="s">
        <v>1254</v>
      </c>
      <c r="N716" s="48">
        <v>45667</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3</v>
      </c>
      <c r="K717" s="2" t="s">
        <v>1249</v>
      </c>
      <c r="L717" s="29" t="s">
        <v>1252</v>
      </c>
      <c r="M717" s="21" t="s">
        <v>1254</v>
      </c>
      <c r="N717" s="48">
        <v>45667</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3</v>
      </c>
      <c r="K718" s="2" t="s">
        <v>1246</v>
      </c>
      <c r="L718" s="29" t="s">
        <v>1244</v>
      </c>
      <c r="M718" s="21" t="s">
        <v>1254</v>
      </c>
      <c r="N718" s="48">
        <v>45667</v>
      </c>
      <c r="O718" s="21">
        <f>INDEX(Auxiliar!$D$5:$F$13,MATCH(Table1[[#This Row],[Tipologia_Testes]],Auxiliar!$B$5:$B$13,0),MATCH(Table1[[#This Row],[Complexidade]],Auxiliar!$D$4:$F$4,0))</f>
        <v>4</v>
      </c>
      <c r="P718" s="2" t="s">
        <v>1288</v>
      </c>
      <c r="Q718" s="2"/>
      <c r="R718" s="152">
        <v>45563</v>
      </c>
      <c r="S718" s="152"/>
      <c r="T718" s="152">
        <v>45563</v>
      </c>
      <c r="U718" s="152">
        <v>45624</v>
      </c>
      <c r="V718" s="152">
        <v>45629</v>
      </c>
      <c r="W718" s="2">
        <f>VLOOKUP(Table1[[#This Row],[Status]],Auxiliar!$B$16:$D$24,3,0)*Table1[[#This Row],[Estimação (horas)]]</f>
        <v>2</v>
      </c>
      <c r="X718" s="2"/>
    </row>
    <row r="719" spans="2:24" ht="17.7"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3</v>
      </c>
      <c r="K719" s="2" t="s">
        <v>1247</v>
      </c>
      <c r="L719" s="29" t="s">
        <v>1244</v>
      </c>
      <c r="M719" s="21" t="s">
        <v>1254</v>
      </c>
      <c r="N719" s="48">
        <v>45667</v>
      </c>
      <c r="O719" s="21">
        <f>INDEX(Auxiliar!$D$5:$F$13,MATCH(Table1[[#This Row],[Tipologia_Testes]],Auxiliar!$B$5:$B$13,0),MATCH(Table1[[#This Row],[Complexidade]],Auxiliar!$D$4:$F$4,0))</f>
        <v>4</v>
      </c>
      <c r="P719" s="2" t="s">
        <v>1288</v>
      </c>
      <c r="Q719" s="2"/>
      <c r="R719" s="152">
        <v>45563</v>
      </c>
      <c r="S719" s="152"/>
      <c r="T719" s="152">
        <v>45563</v>
      </c>
      <c r="U719" s="152">
        <v>45624</v>
      </c>
      <c r="V719" s="152">
        <v>45629</v>
      </c>
      <c r="W719" s="2">
        <f>VLOOKUP(Table1[[#This Row],[Status]],Auxiliar!$B$16:$D$24,3,0)*Table1[[#This Row],[Estimação (horas)]]</f>
        <v>2</v>
      </c>
      <c r="X719" s="2"/>
    </row>
    <row r="720" spans="2:24" ht="17.7"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3</v>
      </c>
      <c r="K720" s="2" t="s">
        <v>1249</v>
      </c>
      <c r="L720" s="29" t="s">
        <v>1244</v>
      </c>
      <c r="M720" s="21" t="s">
        <v>1254</v>
      </c>
      <c r="N720" s="48">
        <v>45667</v>
      </c>
      <c r="O720" s="21">
        <f>INDEX(Auxiliar!$D$5:$F$13,MATCH(Table1[[#This Row],[Tipologia_Testes]],Auxiliar!$B$5:$B$13,0),MATCH(Table1[[#This Row],[Complexidade]],Auxiliar!$D$4:$F$4,0))</f>
        <v>0.1</v>
      </c>
      <c r="P720" s="2" t="s">
        <v>1288</v>
      </c>
      <c r="Q720" s="2"/>
      <c r="R720" s="152">
        <v>45563</v>
      </c>
      <c r="S720" s="152"/>
      <c r="T720" s="152">
        <v>45563</v>
      </c>
      <c r="U720" s="152">
        <v>45624</v>
      </c>
      <c r="V720" s="152">
        <v>45629</v>
      </c>
      <c r="W720" s="2">
        <f>VLOOKUP(Table1[[#This Row],[Status]],Auxiliar!$B$16:$D$24,3,0)*Table1[[#This Row],[Estimação (horas)]]</f>
        <v>0.05</v>
      </c>
      <c r="X720" s="2"/>
    </row>
    <row r="721" spans="2:24" ht="17.7"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3</v>
      </c>
      <c r="K721" s="2" t="s">
        <v>1246</v>
      </c>
      <c r="L721" s="29" t="s">
        <v>1244</v>
      </c>
      <c r="M721" s="21" t="s">
        <v>1254</v>
      </c>
      <c r="N721" s="48">
        <v>45667</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2</v>
      </c>
      <c r="X721" s="2"/>
    </row>
    <row r="722" spans="2:24" ht="17.7"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3</v>
      </c>
      <c r="K722" s="2" t="s">
        <v>1247</v>
      </c>
      <c r="L722" s="29" t="s">
        <v>1244</v>
      </c>
      <c r="M722" s="21" t="s">
        <v>1254</v>
      </c>
      <c r="N722" s="48">
        <v>45667</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2</v>
      </c>
      <c r="X722" s="2"/>
    </row>
    <row r="723" spans="2:24" ht="17.7"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3</v>
      </c>
      <c r="K723" s="2" t="s">
        <v>1249</v>
      </c>
      <c r="L723" s="29" t="s">
        <v>1244</v>
      </c>
      <c r="M723" s="21" t="s">
        <v>1254</v>
      </c>
      <c r="N723" s="48">
        <v>45667</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1246</v>
      </c>
      <c r="L724" s="29" t="s">
        <v>1252</v>
      </c>
      <c r="M724" s="21" t="s">
        <v>1253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1247</v>
      </c>
      <c r="L725" s="29" t="s">
        <v>1252</v>
      </c>
      <c r="M725" s="21" t="s">
        <v>1253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1249</v>
      </c>
      <c r="L726" s="29" t="s">
        <v>1252</v>
      </c>
      <c r="M726" s="21" t="s">
        <v>1253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3</v>
      </c>
      <c r="K727" s="2" t="s">
        <v>1246</v>
      </c>
      <c r="L727" s="29" t="s">
        <v>1252</v>
      </c>
      <c r="M727" s="21" t="s">
        <v>1253</v>
      </c>
      <c r="N727" s="48">
        <v>45667</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3</v>
      </c>
      <c r="K728" s="2" t="s">
        <v>1247</v>
      </c>
      <c r="L728" s="29" t="s">
        <v>1252</v>
      </c>
      <c r="M728" s="21" t="s">
        <v>1253</v>
      </c>
      <c r="N728" s="48">
        <v>45667</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3</v>
      </c>
      <c r="K729" s="2" t="s">
        <v>1249</v>
      </c>
      <c r="L729" s="29" t="s">
        <v>1252</v>
      </c>
      <c r="M729" s="21" t="s">
        <v>1253</v>
      </c>
      <c r="N729" s="48">
        <v>45667</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3</v>
      </c>
      <c r="K730" s="2" t="s">
        <v>1246</v>
      </c>
      <c r="L730" s="29" t="s">
        <v>1252</v>
      </c>
      <c r="M730" s="21" t="s">
        <v>1254</v>
      </c>
      <c r="N730" s="48">
        <v>45667</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3</v>
      </c>
      <c r="K731" s="2" t="s">
        <v>1247</v>
      </c>
      <c r="L731" s="29" t="s">
        <v>1252</v>
      </c>
      <c r="M731" s="21" t="s">
        <v>1254</v>
      </c>
      <c r="N731" s="48">
        <v>45667</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3</v>
      </c>
      <c r="K732" s="2" t="s">
        <v>1249</v>
      </c>
      <c r="L732" s="29" t="s">
        <v>1252</v>
      </c>
      <c r="M732" s="21" t="s">
        <v>1254</v>
      </c>
      <c r="N732" s="48">
        <v>45667</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1289</v>
      </c>
      <c r="E733" s="2" t="s">
        <v>38</v>
      </c>
      <c r="F733" s="2" t="s">
        <v>182</v>
      </c>
      <c r="G733" s="2" t="s">
        <v>38</v>
      </c>
      <c r="H733" s="57" t="str">
        <f>Table1[[#This Row],[Tabela]]&amp;Table1[[#This Row],[Campo]]</f>
        <v>modesg_param_sfcs_taxon_europeian.a.</v>
      </c>
      <c r="I733" s="2" t="s">
        <v>613</v>
      </c>
      <c r="J733" s="43">
        <f>VLOOKUP(Table1[[#This Row],[Status]],Auxiliar!$B$16:$C$24,2,0)</f>
        <v>1</v>
      </c>
      <c r="K733" s="2" t="s">
        <v>1243</v>
      </c>
      <c r="L733" s="29" t="s">
        <v>1252</v>
      </c>
      <c r="M733" s="21" t="s">
        <v>1245</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1289</v>
      </c>
      <c r="E734" s="2" t="s">
        <v>38</v>
      </c>
      <c r="F734" s="2" t="s">
        <v>182</v>
      </c>
      <c r="G734" s="2" t="s">
        <v>38</v>
      </c>
      <c r="H734" s="57" t="str">
        <f>Table1[[#This Row],[Tabela]]&amp;Table1[[#This Row],[Campo]]</f>
        <v>modesg_param_sfcs_taxon_europeian.a.</v>
      </c>
      <c r="I734" s="2" t="s">
        <v>613</v>
      </c>
      <c r="J734" s="43">
        <f>VLOOKUP(Table1[[#This Row],[Status]],Auxiliar!$B$16:$C$24,2,0)</f>
        <v>1</v>
      </c>
      <c r="K734" s="2" t="s">
        <v>1290</v>
      </c>
      <c r="L734" s="29" t="s">
        <v>1252</v>
      </c>
      <c r="M734" s="21" t="s">
        <v>1253</v>
      </c>
      <c r="N734" s="48">
        <v>45611</v>
      </c>
      <c r="O734" s="21">
        <f>INDEX(Auxiliar!$D$5:$F$13,MATCH(Table1[[#This Row],[Tipologia_Testes]],Auxiliar!$B$5:$B$13,0),MATCH(Table1[[#This Row],[Complexidade]],Auxiliar!$D$4:$F$4,0))</f>
        <v>0.5</v>
      </c>
      <c r="P734" s="23" t="s">
        <v>1291</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1289</v>
      </c>
      <c r="E735" s="2" t="s">
        <v>38</v>
      </c>
      <c r="F735" s="2" t="s">
        <v>182</v>
      </c>
      <c r="G735" s="2" t="s">
        <v>183</v>
      </c>
      <c r="H735" s="57" t="str">
        <f>Table1[[#This Row],[Tabela]]&amp;Table1[[#This Row],[Campo]]</f>
        <v>modesg_param_sfcs_taxon_europeiacbalcao</v>
      </c>
      <c r="I735" s="3" t="s">
        <v>613</v>
      </c>
      <c r="J735" s="55">
        <f>VLOOKUP(Table1[[#This Row],[Status]],Auxiliar!$B$16:$C$24,2,0)</f>
        <v>1</v>
      </c>
      <c r="K735" s="2" t="s">
        <v>1257</v>
      </c>
      <c r="L735" s="29" t="s">
        <v>1252</v>
      </c>
      <c r="M735" s="21" t="s">
        <v>1253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1289</v>
      </c>
      <c r="E736" s="2" t="s">
        <v>38</v>
      </c>
      <c r="F736" s="2" t="s">
        <v>182</v>
      </c>
      <c r="G736" s="2" t="s">
        <v>183</v>
      </c>
      <c r="H736" s="57" t="str">
        <f>Table1[[#This Row],[Tabela]]&amp;Table1[[#This Row],[Campo]]</f>
        <v>modesg_param_sfcs_taxon_europeiacbalcao</v>
      </c>
      <c r="I736" s="3" t="s">
        <v>613</v>
      </c>
      <c r="J736" s="55">
        <f>VLOOKUP(Table1[[#This Row],[Status]],Auxiliar!$B$16:$C$24,2,0)</f>
        <v>1</v>
      </c>
      <c r="K736" s="2" t="s">
        <v>1249</v>
      </c>
      <c r="L736" s="29" t="s">
        <v>1252</v>
      </c>
      <c r="M736" s="21" t="s">
        <v>1253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1289</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1257</v>
      </c>
      <c r="L737" s="29" t="s">
        <v>1252</v>
      </c>
      <c r="M737" s="21" t="s">
        <v>1253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184</v>
      </c>
      <c r="H738" s="57" t="str">
        <f>Table1[[#This Row],[Tabela]]&amp;Table1[[#This Row],[Campo]]</f>
        <v>modesg_param_sfcs_taxon_europeiacempresa</v>
      </c>
      <c r="I738" s="3" t="s">
        <v>613</v>
      </c>
      <c r="J738" s="55">
        <f>VLOOKUP(Table1[[#This Row],[Status]],Auxiliar!$B$16:$C$24,2,0)</f>
        <v>1</v>
      </c>
      <c r="K738" s="2" t="s">
        <v>1249</v>
      </c>
      <c r="L738" s="29" t="s">
        <v>1252</v>
      </c>
      <c r="M738" s="21" t="s">
        <v>1253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1289</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1257</v>
      </c>
      <c r="L739" s="29" t="s">
        <v>1252</v>
      </c>
      <c r="M739" s="21" t="s">
        <v>1253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1289</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1249</v>
      </c>
      <c r="L740" s="29" t="s">
        <v>1252</v>
      </c>
      <c r="M740" s="21" t="s">
        <v>1253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1289</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1257</v>
      </c>
      <c r="L741" s="29" t="s">
        <v>1252</v>
      </c>
      <c r="M741" s="21" t="s">
        <v>1253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1289</v>
      </c>
      <c r="E742" s="2" t="s">
        <v>38</v>
      </c>
      <c r="F742" s="2" t="s">
        <v>182</v>
      </c>
      <c r="G742" s="2" t="s">
        <v>186</v>
      </c>
      <c r="H742" s="57" t="str">
        <f>Table1[[#This Row],[Tabela]]&amp;Table1[[#This Row],[Campo]]</f>
        <v>modesg_param_sfcs_taxon_europeiackprodmi</v>
      </c>
      <c r="I742" s="3" t="s">
        <v>613</v>
      </c>
      <c r="J742" s="55">
        <f>VLOOKUP(Table1[[#This Row],[Status]],Auxiliar!$B$16:$C$24,2,0)</f>
        <v>1</v>
      </c>
      <c r="K742" s="2" t="s">
        <v>1249</v>
      </c>
      <c r="L742" s="29" t="s">
        <v>1252</v>
      </c>
      <c r="M742" s="21" t="s">
        <v>1253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1289</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1257</v>
      </c>
      <c r="L743" s="29" t="s">
        <v>1252</v>
      </c>
      <c r="M743" s="21" t="s">
        <v>1253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1289</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1249</v>
      </c>
      <c r="L744" s="29" t="s">
        <v>1252</v>
      </c>
      <c r="M744" s="21" t="s">
        <v>1253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1289</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1257</v>
      </c>
      <c r="L745" s="29" t="s">
        <v>1252</v>
      </c>
      <c r="M745" s="21" t="s">
        <v>1253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1289</v>
      </c>
      <c r="E746" s="2" t="s">
        <v>38</v>
      </c>
      <c r="F746" s="2" t="s">
        <v>182</v>
      </c>
      <c r="G746" s="2" t="s">
        <v>188</v>
      </c>
      <c r="H746" s="57" t="str">
        <f>Table1[[#This Row],[Tabela]]&amp;Table1[[#This Row],[Campo]]</f>
        <v>modesg_param_sfcs_taxon_europeiacnsm_co2</v>
      </c>
      <c r="I746" s="3" t="s">
        <v>613</v>
      </c>
      <c r="J746" s="55">
        <f>VLOOKUP(Table1[[#This Row],[Status]],Auxiliar!$B$16:$C$24,2,0)</f>
        <v>1</v>
      </c>
      <c r="K746" s="2" t="s">
        <v>1249</v>
      </c>
      <c r="L746" s="29" t="s">
        <v>1252</v>
      </c>
      <c r="M746" s="21" t="s">
        <v>1253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1289</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1257</v>
      </c>
      <c r="L747" s="29" t="s">
        <v>1252</v>
      </c>
      <c r="M747" s="21" t="s">
        <v>1253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1289</v>
      </c>
      <c r="E748" s="2" t="s">
        <v>38</v>
      </c>
      <c r="F748" s="2" t="s">
        <v>182</v>
      </c>
      <c r="G748" s="2" t="s">
        <v>189</v>
      </c>
      <c r="H748" s="57" t="str">
        <f>Table1[[#This Row],[Tabela]]&amp;Table1[[#This Row],[Campo]]</f>
        <v>modesg_param_sfcs_taxon_europeiacnumecta</v>
      </c>
      <c r="I748" s="3" t="s">
        <v>613</v>
      </c>
      <c r="J748" s="55">
        <f>VLOOKUP(Table1[[#This Row],[Status]],Auxiliar!$B$16:$C$24,2,0)</f>
        <v>1</v>
      </c>
      <c r="K748" s="2" t="s">
        <v>1249</v>
      </c>
      <c r="L748" s="29" t="s">
        <v>1252</v>
      </c>
      <c r="M748" s="21" t="s">
        <v>1253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1289</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1257</v>
      </c>
      <c r="L749" s="29" t="s">
        <v>1252</v>
      </c>
      <c r="M749" s="21" t="s">
        <v>1253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1289</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1249</v>
      </c>
      <c r="L750" s="29" t="s">
        <v>1252</v>
      </c>
      <c r="M750" s="21" t="s">
        <v>1253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1289</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1257</v>
      </c>
      <c r="L751" s="29" t="s">
        <v>1244</v>
      </c>
      <c r="M751" s="21" t="s">
        <v>1253</v>
      </c>
      <c r="N751" s="48">
        <v>45611</v>
      </c>
      <c r="O751" s="21">
        <f>INDEX(Auxiliar!$D$5:$F$13,MATCH(Table1[[#This Row],[Tipologia_Testes]],Auxiliar!$B$5:$B$13,0),MATCH(Table1[[#This Row],[Complexidade]],Auxiliar!$D$4:$F$4,0))</f>
        <v>0.5</v>
      </c>
      <c r="P751" s="2" t="s">
        <v>1292</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1289</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1249</v>
      </c>
      <c r="L752" s="29" t="s">
        <v>1244</v>
      </c>
      <c r="M752" s="21" t="s">
        <v>1253</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1289</v>
      </c>
      <c r="E753" s="2" t="s">
        <v>38</v>
      </c>
      <c r="F753" s="2" t="s">
        <v>182</v>
      </c>
      <c r="G753" s="2" t="s">
        <v>192</v>
      </c>
      <c r="H753" s="57" t="str">
        <f>Table1[[#This Row],[Tabela]]&amp;Table1[[#This Row],[Campo]]</f>
        <v>modesg_param_sfcs_taxon_europeiacomite</v>
      </c>
      <c r="I753" s="2" t="s">
        <v>613</v>
      </c>
      <c r="J753" s="43">
        <f>VLOOKUP(Table1[[#This Row],[Status]],Auxiliar!$B$16:$C$24,2,0)</f>
        <v>1</v>
      </c>
      <c r="K753" s="2" t="s">
        <v>1257</v>
      </c>
      <c r="L753" s="29" t="s">
        <v>1252</v>
      </c>
      <c r="M753" s="21" t="s">
        <v>1253</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1289</v>
      </c>
      <c r="E754" s="2" t="s">
        <v>38</v>
      </c>
      <c r="F754" s="2" t="s">
        <v>182</v>
      </c>
      <c r="G754" s="2" t="s">
        <v>192</v>
      </c>
      <c r="H754" s="57" t="str">
        <f>Table1[[#This Row],[Tabela]]&amp;Table1[[#This Row],[Campo]]</f>
        <v>modesg_param_sfcs_taxon_europeiacomite</v>
      </c>
      <c r="I754" s="2" t="s">
        <v>613</v>
      </c>
      <c r="J754" s="43">
        <f>VLOOKUP(Table1[[#This Row],[Status]],Auxiliar!$B$16:$C$24,2,0)</f>
        <v>1</v>
      </c>
      <c r="K754" s="2" t="s">
        <v>1249</v>
      </c>
      <c r="L754" s="29" t="s">
        <v>1252</v>
      </c>
      <c r="M754" s="21" t="s">
        <v>1253</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1289</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1257</v>
      </c>
      <c r="L755" s="29" t="s">
        <v>1252</v>
      </c>
      <c r="M755" s="21" t="s">
        <v>1253</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1289</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1249</v>
      </c>
      <c r="L756" s="29" t="s">
        <v>1252</v>
      </c>
      <c r="M756" s="21" t="s">
        <v>1253</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1289</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1257</v>
      </c>
      <c r="L757" s="29" t="s">
        <v>1252</v>
      </c>
      <c r="M757" s="21" t="s">
        <v>1253</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1289</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1249</v>
      </c>
      <c r="L758" s="29" t="s">
        <v>1252</v>
      </c>
      <c r="M758" s="21" t="s">
        <v>1253</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1289</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1257</v>
      </c>
      <c r="L759" s="29" t="s">
        <v>1252</v>
      </c>
      <c r="M759" s="21" t="s">
        <v>1253</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1289</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1249</v>
      </c>
      <c r="L760" s="29" t="s">
        <v>1252</v>
      </c>
      <c r="M760" s="21" t="s">
        <v>1253</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1289</v>
      </c>
      <c r="E761" s="2" t="s">
        <v>38</v>
      </c>
      <c r="F761" s="2" t="s">
        <v>182</v>
      </c>
      <c r="G761" s="2" t="s">
        <v>196</v>
      </c>
      <c r="H761" s="57" t="str">
        <f>Table1[[#This Row],[Tabela]]&amp;Table1[[#This Row],[Campo]]</f>
        <v>modesg_param_sfcs_taxon_europeiadominio</v>
      </c>
      <c r="I761" s="3" t="s">
        <v>613</v>
      </c>
      <c r="J761" s="55">
        <f>VLOOKUP(Table1[[#This Row],[Status]],Auxiliar!$B$16:$C$24,2,0)</f>
        <v>1</v>
      </c>
      <c r="K761" s="2" t="s">
        <v>1257</v>
      </c>
      <c r="L761" s="29" t="s">
        <v>1252</v>
      </c>
      <c r="M761" s="21" t="s">
        <v>1253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1289</v>
      </c>
      <c r="E762" s="2" t="s">
        <v>38</v>
      </c>
      <c r="F762" s="2" t="s">
        <v>182</v>
      </c>
      <c r="G762" s="2" t="s">
        <v>196</v>
      </c>
      <c r="H762" s="57" t="str">
        <f>Table1[[#This Row],[Tabela]]&amp;Table1[[#This Row],[Campo]]</f>
        <v>modesg_param_sfcs_taxon_europeiadominio</v>
      </c>
      <c r="I762" s="3" t="s">
        <v>613</v>
      </c>
      <c r="J762" s="55">
        <f>VLOOKUP(Table1[[#This Row],[Status]],Auxiliar!$B$16:$C$24,2,0)</f>
        <v>1</v>
      </c>
      <c r="K762" s="2" t="s">
        <v>1249</v>
      </c>
      <c r="L762" s="29" t="s">
        <v>1252</v>
      </c>
      <c r="M762" s="21" t="s">
        <v>1253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1289</v>
      </c>
      <c r="E763" s="2" t="s">
        <v>38</v>
      </c>
      <c r="F763" s="2" t="s">
        <v>182</v>
      </c>
      <c r="G763" s="2" t="s">
        <v>197</v>
      </c>
      <c r="H763" s="57" t="str">
        <f>Table1[[#This Row],[Tabela]]&amp;Table1[[#This Row],[Campo]]</f>
        <v>modesg_param_sfcs_taxon_europeiadscrc</v>
      </c>
      <c r="I763" s="3" t="s">
        <v>613</v>
      </c>
      <c r="J763" s="55">
        <f>VLOOKUP(Table1[[#This Row],[Status]],Auxiliar!$B$16:$C$24,2,0)</f>
        <v>1</v>
      </c>
      <c r="K763" s="2" t="s">
        <v>1257</v>
      </c>
      <c r="L763" s="29" t="s">
        <v>1252</v>
      </c>
      <c r="M763" s="21" t="s">
        <v>1253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1289</v>
      </c>
      <c r="E764" s="2" t="s">
        <v>38</v>
      </c>
      <c r="F764" s="2" t="s">
        <v>182</v>
      </c>
      <c r="G764" s="2" t="s">
        <v>197</v>
      </c>
      <c r="H764" s="57" t="str">
        <f>Table1[[#This Row],[Tabela]]&amp;Table1[[#This Row],[Campo]]</f>
        <v>modesg_param_sfcs_taxon_europeiadscrc</v>
      </c>
      <c r="I764" s="3" t="s">
        <v>613</v>
      </c>
      <c r="J764" s="55">
        <f>VLOOKUP(Table1[[#This Row],[Status]],Auxiliar!$B$16:$C$24,2,0)</f>
        <v>1</v>
      </c>
      <c r="K764" s="2" t="s">
        <v>1249</v>
      </c>
      <c r="L764" s="29" t="s">
        <v>1252</v>
      </c>
      <c r="M764" s="21" t="s">
        <v>1253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1289</v>
      </c>
      <c r="E765" s="2" t="s">
        <v>38</v>
      </c>
      <c r="F765" s="2" t="s">
        <v>182</v>
      </c>
      <c r="G765" s="2" t="s">
        <v>198</v>
      </c>
      <c r="H765" s="57" t="str">
        <f>Table1[[#This Row],[Tabela]]&amp;Table1[[#This Row],[Campo]]</f>
        <v>modesg_param_sfcs_taxon_europeiaepc</v>
      </c>
      <c r="I765" s="3" t="s">
        <v>613</v>
      </c>
      <c r="J765" s="55">
        <f>VLOOKUP(Table1[[#This Row],[Status]],Auxiliar!$B$16:$C$24,2,0)</f>
        <v>1</v>
      </c>
      <c r="K765" s="2" t="s">
        <v>1257</v>
      </c>
      <c r="L765" s="29" t="s">
        <v>1252</v>
      </c>
      <c r="M765" s="21" t="s">
        <v>1253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1289</v>
      </c>
      <c r="E766" s="2" t="s">
        <v>38</v>
      </c>
      <c r="F766" s="2" t="s">
        <v>182</v>
      </c>
      <c r="G766" s="2" t="s">
        <v>198</v>
      </c>
      <c r="H766" s="57" t="str">
        <f>Table1[[#This Row],[Tabela]]&amp;Table1[[#This Row],[Campo]]</f>
        <v>modesg_param_sfcs_taxon_europeiaepc</v>
      </c>
      <c r="I766" s="3" t="s">
        <v>613</v>
      </c>
      <c r="J766" s="55">
        <f>VLOOKUP(Table1[[#This Row],[Status]],Auxiliar!$B$16:$C$24,2,0)</f>
        <v>1</v>
      </c>
      <c r="K766" s="2" t="s">
        <v>1249</v>
      </c>
      <c r="L766" s="29" t="s">
        <v>1252</v>
      </c>
      <c r="M766" s="21" t="s">
        <v>1253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1289</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1249</v>
      </c>
      <c r="L767" s="29" t="s">
        <v>650</v>
      </c>
      <c r="M767" s="21" t="s">
        <v>1253</v>
      </c>
      <c r="N767" s="48">
        <v>45611</v>
      </c>
      <c r="O767" s="21">
        <f>INDEX(Auxiliar!$D$5:$F$13,MATCH(Table1[[#This Row],[Tipologia_Testes]],Auxiliar!$B$5:$B$13,0),MATCH(Table1[[#This Row],[Complexidade]],Auxiliar!$D$4:$F$4,0))</f>
        <v>0.1</v>
      </c>
      <c r="P767" s="2" t="s">
        <v>1293</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1257</v>
      </c>
      <c r="L768" s="29" t="s">
        <v>650</v>
      </c>
      <c r="M768" s="21" t="s">
        <v>1253</v>
      </c>
      <c r="N768" s="48">
        <v>45611</v>
      </c>
      <c r="O768" s="21">
        <f>INDEX(Auxiliar!$D$5:$F$13,MATCH(Table1[[#This Row],[Tipologia_Testes]],Auxiliar!$B$5:$B$13,0),MATCH(Table1[[#This Row],[Complexidade]],Auxiliar!$D$4:$F$4,0))</f>
        <v>0.5</v>
      </c>
      <c r="P768" s="2" t="s">
        <v>1293</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1249</v>
      </c>
      <c r="L769" s="29" t="s">
        <v>650</v>
      </c>
      <c r="M769" s="21" t="s">
        <v>1254</v>
      </c>
      <c r="N769" s="48">
        <v>45611</v>
      </c>
      <c r="O769" s="21">
        <f>INDEX(Auxiliar!$D$5:$F$13,MATCH(Table1[[#This Row],[Tipologia_Testes]],Auxiliar!$B$5:$B$13,0),MATCH(Table1[[#This Row],[Complexidade]],Auxiliar!$D$4:$F$4,0))</f>
        <v>0.1</v>
      </c>
      <c r="P769" s="2" t="s">
        <v>1294</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1257</v>
      </c>
      <c r="L770" s="29" t="s">
        <v>650</v>
      </c>
      <c r="M770" s="21" t="s">
        <v>1254</v>
      </c>
      <c r="N770" s="48">
        <v>45611</v>
      </c>
      <c r="O770" s="21">
        <f>INDEX(Auxiliar!$D$5:$F$13,MATCH(Table1[[#This Row],[Tipologia_Testes]],Auxiliar!$B$5:$B$13,0),MATCH(Table1[[#This Row],[Complexidade]],Auxiliar!$D$4:$F$4,0))</f>
        <v>0.5</v>
      </c>
      <c r="P770" s="2" t="s">
        <v>1294</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1289</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1249</v>
      </c>
      <c r="L772" s="29" t="s">
        <v>650</v>
      </c>
      <c r="M772" s="21" t="s">
        <v>1253</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1257</v>
      </c>
      <c r="L773" s="29" t="s">
        <v>1252</v>
      </c>
      <c r="M773" s="21" t="s">
        <v>1253</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1249</v>
      </c>
      <c r="L774" s="29" t="s">
        <v>1252</v>
      </c>
      <c r="M774" s="21" t="s">
        <v>1253</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1289</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1257</v>
      </c>
      <c r="L775" s="29" t="s">
        <v>1252</v>
      </c>
      <c r="M775" s="21" t="s">
        <v>1253</v>
      </c>
      <c r="N775" s="48">
        <v>45611</v>
      </c>
      <c r="O775" s="21">
        <f>INDEX(Auxiliar!$D$5:$F$13,MATCH(Table1[[#This Row],[Tipologia_Testes]],Auxiliar!$B$5:$B$13,0),MATCH(Table1[[#This Row],[Complexidade]],Auxiliar!$D$4:$F$4,0))</f>
        <v>0.5</v>
      </c>
      <c r="P775" s="23" t="s">
        <v>1295</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1289</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1249</v>
      </c>
      <c r="L776" s="29" t="s">
        <v>1252</v>
      </c>
      <c r="M776" s="21" t="s">
        <v>1253</v>
      </c>
      <c r="N776" s="48">
        <v>45611</v>
      </c>
      <c r="O776" s="21">
        <f>INDEX(Auxiliar!$D$5:$F$13,MATCH(Table1[[#This Row],[Tipologia_Testes]],Auxiliar!$B$5:$B$13,0),MATCH(Table1[[#This Row],[Complexidade]],Auxiliar!$D$4:$F$4,0))</f>
        <v>0.1</v>
      </c>
      <c r="P776" s="23" t="s">
        <v>1295</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1289</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1257</v>
      </c>
      <c r="L777" s="29" t="s">
        <v>1252</v>
      </c>
      <c r="M777" s="21" t="s">
        <v>1253</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1289</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1249</v>
      </c>
      <c r="L778" s="29" t="s">
        <v>1252</v>
      </c>
      <c r="M778" s="21" t="s">
        <v>1253</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1289</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1257</v>
      </c>
      <c r="L779" s="29" t="s">
        <v>1252</v>
      </c>
      <c r="M779" s="21" t="s">
        <v>1253</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1289</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1249</v>
      </c>
      <c r="L780" s="29" t="s">
        <v>1252</v>
      </c>
      <c r="M780" s="21" t="s">
        <v>1253</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1289</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1257</v>
      </c>
      <c r="L781" s="29" t="s">
        <v>1252</v>
      </c>
      <c r="M781" s="21" t="s">
        <v>1253</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1289</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1249</v>
      </c>
      <c r="L782" s="29" t="s">
        <v>1252</v>
      </c>
      <c r="M782" s="21" t="s">
        <v>1253</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1289</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1257</v>
      </c>
      <c r="L783" s="29" t="s">
        <v>1252</v>
      </c>
      <c r="M783" s="21" t="s">
        <v>1253</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1289</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1249</v>
      </c>
      <c r="L784" s="29" t="s">
        <v>1252</v>
      </c>
      <c r="M784" s="21" t="s">
        <v>1253</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1289</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1257</v>
      </c>
      <c r="L785" s="29" t="s">
        <v>1252</v>
      </c>
      <c r="M785" s="21" t="s">
        <v>1253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1289</v>
      </c>
      <c r="E786" s="2" t="s">
        <v>38</v>
      </c>
      <c r="F786" s="2" t="s">
        <v>182</v>
      </c>
      <c r="G786" s="2" t="s">
        <v>208</v>
      </c>
      <c r="H786" s="57" t="str">
        <f>Table1[[#This Row],[Tabela]]&amp;Table1[[#This Row],[Campo]]</f>
        <v>modesg_param_sfcs_taxon_europeiaref_date</v>
      </c>
      <c r="I786" s="2" t="s">
        <v>613</v>
      </c>
      <c r="J786" s="55">
        <f>VLOOKUP(Table1[[#This Row],[Status]],Auxiliar!$B$16:$C$24,2,0)</f>
        <v>1</v>
      </c>
      <c r="K786" s="2" t="s">
        <v>1249</v>
      </c>
      <c r="L786" s="29" t="s">
        <v>1252</v>
      </c>
      <c r="M786" s="21" t="s">
        <v>1253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1289</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1257</v>
      </c>
      <c r="L787" s="29" t="s">
        <v>1252</v>
      </c>
      <c r="M787" s="21" t="s">
        <v>1253</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1289</v>
      </c>
      <c r="E788" s="2" t="s">
        <v>38</v>
      </c>
      <c r="F788" s="2" t="s">
        <v>182</v>
      </c>
      <c r="G788" s="2" t="s">
        <v>209</v>
      </c>
      <c r="H788" s="57" t="str">
        <f>Table1[[#This Row],[Tabela]]&amp;Table1[[#This Row],[Campo]]</f>
        <v>modesg_param_sfcs_taxon_europeiazcliente</v>
      </c>
      <c r="I788" s="2" t="s">
        <v>613</v>
      </c>
      <c r="J788" s="55">
        <f>VLOOKUP(Table1[[#This Row],[Status]],Auxiliar!$B$16:$C$24,2,0)</f>
        <v>1</v>
      </c>
      <c r="K788" s="2" t="s">
        <v>1249</v>
      </c>
      <c r="L788" s="29" t="s">
        <v>1252</v>
      </c>
      <c r="M788" s="21" t="s">
        <v>1253</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1289</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1257</v>
      </c>
      <c r="L789" s="29" t="s">
        <v>1252</v>
      </c>
      <c r="M789" s="21" t="s">
        <v>1253</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1289</v>
      </c>
      <c r="E790" s="2" t="s">
        <v>38</v>
      </c>
      <c r="F790" s="2" t="s">
        <v>182</v>
      </c>
      <c r="G790" s="2" t="s">
        <v>210</v>
      </c>
      <c r="H790" s="57" t="str">
        <f>Table1[[#This Row],[Tabela]]&amp;Table1[[#This Row],[Campo]]</f>
        <v>modesg_param_sfcs_taxon_europeiazdeposit</v>
      </c>
      <c r="I790" s="2" t="s">
        <v>613</v>
      </c>
      <c r="J790" s="55">
        <f>VLOOKUP(Table1[[#This Row],[Status]],Auxiliar!$B$16:$C$24,2,0)</f>
        <v>1</v>
      </c>
      <c r="K790" s="2" t="s">
        <v>1249</v>
      </c>
      <c r="L790" s="29" t="s">
        <v>1252</v>
      </c>
      <c r="M790" s="21" t="s">
        <v>1253</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1289</v>
      </c>
      <c r="E791" s="2" t="s">
        <v>38</v>
      </c>
      <c r="F791" s="2" t="s">
        <v>182</v>
      </c>
      <c r="G791" s="2" t="s">
        <v>211</v>
      </c>
      <c r="H791" s="57" t="str">
        <f>Table1[[#This Row],[Tabela]]&amp;Table1[[#This Row],[Campo]]</f>
        <v>modesg_param_sfcs_taxon_europeiaordem</v>
      </c>
      <c r="I791" s="2" t="s">
        <v>612</v>
      </c>
      <c r="J791" s="54">
        <f>VLOOKUP(Table1[[#This Row],[Status]],Auxiliar!$B$16:$C$24,2,0)</f>
        <v>0</v>
      </c>
      <c r="K791" s="2" t="s">
        <v>1257</v>
      </c>
      <c r="L791" s="29" t="s">
        <v>1252</v>
      </c>
      <c r="M791" s="21" t="s">
        <v>1253</v>
      </c>
      <c r="N791" s="48">
        <v>45561</v>
      </c>
      <c r="O791" s="21">
        <f>INDEX(Auxiliar!$D$5:$F$13,MATCH(Table1[[#This Row],[Tipologia_Testes]],Auxiliar!$B$5:$B$13,0),MATCH(Table1[[#This Row],[Complexidade]],Auxiliar!$D$4:$F$4,0))</f>
        <v>0.5</v>
      </c>
      <c r="P791" s="2" t="s">
        <v>1272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1289</v>
      </c>
      <c r="E792" s="2" t="s">
        <v>38</v>
      </c>
      <c r="F792" s="2" t="s">
        <v>182</v>
      </c>
      <c r="G792" s="2" t="s">
        <v>211</v>
      </c>
      <c r="H792" s="57" t="str">
        <f>Table1[[#This Row],[Tabela]]&amp;Table1[[#This Row],[Campo]]</f>
        <v>modesg_param_sfcs_taxon_europeiaordem</v>
      </c>
      <c r="I792" s="2" t="s">
        <v>612</v>
      </c>
      <c r="J792" s="54">
        <f>VLOOKUP(Table1[[#This Row],[Status]],Auxiliar!$B$16:$C$24,2,0)</f>
        <v>0</v>
      </c>
      <c r="K792" s="2" t="s">
        <v>1249</v>
      </c>
      <c r="L792" s="29" t="s">
        <v>1252</v>
      </c>
      <c r="M792" s="21" t="s">
        <v>1253</v>
      </c>
      <c r="N792" s="48">
        <v>45561</v>
      </c>
      <c r="O792" s="21">
        <f>INDEX(Auxiliar!$D$5:$F$13,MATCH(Table1[[#This Row],[Tipologia_Testes]],Auxiliar!$B$5:$B$13,0),MATCH(Table1[[#This Row],[Complexidade]],Auxiliar!$D$4:$F$4,0))</f>
        <v>0.1</v>
      </c>
      <c r="P792" s="2" t="s">
        <v>1272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1289</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1257</v>
      </c>
      <c r="L793" s="29" t="s">
        <v>1252</v>
      </c>
      <c r="M793" s="21" t="s">
        <v>1253</v>
      </c>
      <c r="N793" s="48">
        <v>45561</v>
      </c>
      <c r="O793" s="21">
        <f>INDEX(Auxiliar!$D$5:$F$13,MATCH(Table1[[#This Row],[Tipologia_Testes]],Auxiliar!$B$5:$B$13,0),MATCH(Table1[[#This Row],[Complexidade]],Auxiliar!$D$4:$F$4,0))</f>
        <v>0.5</v>
      </c>
      <c r="P793" s="2" t="s">
        <v>1272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1289</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1249</v>
      </c>
      <c r="L794" s="29" t="s">
        <v>1252</v>
      </c>
      <c r="M794" s="21" t="s">
        <v>1253</v>
      </c>
      <c r="N794" s="48">
        <v>45561</v>
      </c>
      <c r="O794" s="21">
        <f>INDEX(Auxiliar!$D$5:$F$13,MATCH(Table1[[#This Row],[Tipologia_Testes]],Auxiliar!$B$5:$B$13,0),MATCH(Table1[[#This Row],[Complexidade]],Auxiliar!$D$4:$F$4,0))</f>
        <v>0.1</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1296</v>
      </c>
      <c r="E795" s="2" t="s">
        <v>38</v>
      </c>
      <c r="F795" s="13" t="s">
        <v>213</v>
      </c>
      <c r="G795" s="13" t="s">
        <v>38</v>
      </c>
      <c r="H795" s="58" t="str">
        <f>Table1[[#This Row],[Tabela]]&amp;Table1[[#This Row],[Campo]]</f>
        <v>modesg_inp_emss_vclsn.a.</v>
      </c>
      <c r="I795" s="2" t="s">
        <v>613</v>
      </c>
      <c r="J795" s="46">
        <f>VLOOKUP(Table1[[#This Row],[Status]],Auxiliar!$B$16:$C$24,2,0)</f>
        <v>1</v>
      </c>
      <c r="K795" s="21" t="s">
        <v>1243</v>
      </c>
      <c r="L795" s="253" t="s">
        <v>1252</v>
      </c>
      <c r="M795" s="21" t="s">
        <v>1253</v>
      </c>
      <c r="N795" s="48">
        <v>45546</v>
      </c>
      <c r="O795" s="21">
        <f>INDEX(Auxiliar!$D$5:$F$13,MATCH(Table1[[#This Row],[Tipologia_Testes]],Auxiliar!$B$5:$B$13,0),MATCH(Table1[[#This Row],[Complexidade]],Auxiliar!$D$4:$F$4,0))</f>
        <v>8</v>
      </c>
      <c r="P795" s="2" t="s">
        <v>1297</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1296</v>
      </c>
      <c r="E796" s="2" t="s">
        <v>38</v>
      </c>
      <c r="F796" s="13" t="s">
        <v>213</v>
      </c>
      <c r="G796" s="13" t="s">
        <v>38</v>
      </c>
      <c r="H796" s="58" t="str">
        <f>Table1[[#This Row],[Tabela]]&amp;Table1[[#This Row],[Campo]]</f>
        <v>modesg_inp_emss_vclsn.a.</v>
      </c>
      <c r="I796" s="2" t="s">
        <v>613</v>
      </c>
      <c r="J796" s="46">
        <f>VLOOKUP(Table1[[#This Row],[Status]],Auxiliar!$B$16:$C$24,2,0)</f>
        <v>1</v>
      </c>
      <c r="K796" s="21" t="s">
        <v>1290</v>
      </c>
      <c r="L796" s="253" t="s">
        <v>1252</v>
      </c>
      <c r="M796" s="21" t="s">
        <v>1253</v>
      </c>
      <c r="N796" s="48">
        <v>45546</v>
      </c>
      <c r="O796" s="21">
        <f>INDEX(Auxiliar!$D$5:$F$13,MATCH(Table1[[#This Row],[Tipologia_Testes]],Auxiliar!$B$5:$B$13,0),MATCH(Table1[[#This Row],[Complexidade]],Auxiliar!$D$4:$F$4,0))</f>
        <v>0.5</v>
      </c>
      <c r="P796" s="2" t="s">
        <v>1298</v>
      </c>
      <c r="Q796" s="2" t="s">
        <v>1299</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1296</v>
      </c>
      <c r="E797" s="2" t="s">
        <v>38</v>
      </c>
      <c r="F797" s="13" t="s">
        <v>214</v>
      </c>
      <c r="G797" s="13" t="s">
        <v>38</v>
      </c>
      <c r="H797" s="58" t="str">
        <f>Table1[[#This Row],[Tabela]]&amp;Table1[[#This Row],[Campo]]</f>
        <v>modesg_inp_km_medios_emss_vclsn.a.</v>
      </c>
      <c r="I797" s="2" t="s">
        <v>613</v>
      </c>
      <c r="J797" s="46">
        <f>VLOOKUP(Table1[[#This Row],[Status]],Auxiliar!$B$16:$C$24,2,0)</f>
        <v>1</v>
      </c>
      <c r="K797" s="21" t="s">
        <v>1243</v>
      </c>
      <c r="L797" s="22"/>
      <c r="M797" s="21" t="s">
        <v>1253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1296</v>
      </c>
      <c r="E798" s="2" t="s">
        <v>38</v>
      </c>
      <c r="F798" s="13" t="s">
        <v>214</v>
      </c>
      <c r="G798" s="13" t="s">
        <v>38</v>
      </c>
      <c r="H798" s="58" t="str">
        <f>Table1[[#This Row],[Tabela]]&amp;Table1[[#This Row],[Campo]]</f>
        <v>modesg_inp_km_medios_emss_vclsn.a.</v>
      </c>
      <c r="I798" s="2" t="s">
        <v>613</v>
      </c>
      <c r="J798" s="46">
        <f>VLOOKUP(Table1[[#This Row],[Status]],Auxiliar!$B$16:$C$24,2,0)</f>
        <v>1</v>
      </c>
      <c r="K798" s="21" t="s">
        <v>1290</v>
      </c>
      <c r="L798" s="22"/>
      <c r="M798" s="21" t="s">
        <v>1253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1300</v>
      </c>
      <c r="E799" s="2" t="s">
        <v>38</v>
      </c>
      <c r="F799" s="13" t="s">
        <v>215</v>
      </c>
      <c r="G799" s="13" t="s">
        <v>38</v>
      </c>
      <c r="H799" s="58" t="str">
        <f>Table1[[#This Row],[Tabela]]&amp;Table1[[#This Row],[Campo]]</f>
        <v>modesg_inp_empr_excl_parisn.a.</v>
      </c>
      <c r="I799" s="2" t="s">
        <v>613</v>
      </c>
      <c r="J799" s="46">
        <f>VLOOKUP(Table1[[#This Row],[Status]],Auxiliar!$B$16:$C$24,2,0)</f>
        <v>1</v>
      </c>
      <c r="K799" s="21" t="s">
        <v>1243</v>
      </c>
      <c r="L799" s="22"/>
      <c r="M799" s="21" t="s">
        <v>1253</v>
      </c>
      <c r="N799" s="48">
        <v>45491</v>
      </c>
      <c r="O799" s="21">
        <f>INDEX(Auxiliar!$D$5:$F$13,MATCH(Table1[[#This Row],[Tipologia_Testes]],Auxiliar!$B$5:$B$13,0),MATCH(Table1[[#This Row],[Complexidade]],Auxiliar!$D$4:$F$4,0))</f>
        <v>8</v>
      </c>
      <c r="P799" s="2" t="s">
        <v>1301</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1300</v>
      </c>
      <c r="E800" s="2" t="s">
        <v>38</v>
      </c>
      <c r="F800" s="13" t="s">
        <v>215</v>
      </c>
      <c r="G800" s="13" t="s">
        <v>38</v>
      </c>
      <c r="H800" s="58" t="str">
        <f>Table1[[#This Row],[Tabela]]&amp;Table1[[#This Row],[Campo]]</f>
        <v>modesg_inp_empr_excl_parisn.a.</v>
      </c>
      <c r="I800" s="2" t="s">
        <v>613</v>
      </c>
      <c r="J800" s="46">
        <f>VLOOKUP(Table1[[#This Row],[Status]],Auxiliar!$B$16:$C$24,2,0)</f>
        <v>1</v>
      </c>
      <c r="K800" s="21" t="s">
        <v>1290</v>
      </c>
      <c r="L800" s="22"/>
      <c r="M800" s="21" t="s">
        <v>1253</v>
      </c>
      <c r="N800" s="48">
        <v>45491</v>
      </c>
      <c r="O800" s="21">
        <f>INDEX(Auxiliar!$D$5:$F$13,MATCH(Table1[[#This Row],[Tipologia_Testes]],Auxiliar!$B$5:$B$13,0),MATCH(Table1[[#This Row],[Complexidade]],Auxiliar!$D$4:$F$4,0))</f>
        <v>0.5</v>
      </c>
      <c r="P800" s="2" t="s">
        <v>1302</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1303</v>
      </c>
      <c r="E801" s="2" t="s">
        <v>38</v>
      </c>
      <c r="F801" s="13" t="s">
        <v>216</v>
      </c>
      <c r="G801" s="13" t="s">
        <v>38</v>
      </c>
      <c r="H801" s="58" t="str">
        <f>Table1[[#This Row],[Tabela]]&amp;Table1[[#This Row],[Campo]]</f>
        <v>modesg_inp_nfrd_alinhamento_taxn.a.</v>
      </c>
      <c r="I801" s="2" t="s">
        <v>613</v>
      </c>
      <c r="J801" s="46">
        <f>VLOOKUP(Table1[[#This Row],[Status]],Auxiliar!$B$16:$C$24,2,0)</f>
        <v>1</v>
      </c>
      <c r="K801" s="21" t="s">
        <v>1243</v>
      </c>
      <c r="L801" s="22"/>
      <c r="M801" s="21" t="s">
        <v>1253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1303</v>
      </c>
      <c r="E802" s="2" t="s">
        <v>38</v>
      </c>
      <c r="F802" s="13" t="s">
        <v>216</v>
      </c>
      <c r="G802" s="13" t="s">
        <v>38</v>
      </c>
      <c r="H802" s="58" t="str">
        <f>Table1[[#This Row],[Tabela]]&amp;Table1[[#This Row],[Campo]]</f>
        <v>modesg_inp_nfrd_alinhamento_taxn.a.</v>
      </c>
      <c r="I802" s="2" t="s">
        <v>613</v>
      </c>
      <c r="J802" s="46">
        <f>VLOOKUP(Table1[[#This Row],[Status]],Auxiliar!$B$16:$C$24,2,0)</f>
        <v>1</v>
      </c>
      <c r="K802" s="21" t="s">
        <v>1290</v>
      </c>
      <c r="L802" s="22"/>
      <c r="M802" s="21" t="s">
        <v>1253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1304</v>
      </c>
      <c r="E803" s="2" t="s">
        <v>38</v>
      </c>
      <c r="F803" s="13" t="s">
        <v>217</v>
      </c>
      <c r="G803" s="13" t="s">
        <v>38</v>
      </c>
      <c r="H803" s="58" t="str">
        <f>Table1[[#This Row],[Tabela]]&amp;Table1[[#This Row],[Campo]]</f>
        <v>modesg_inp_risco_fisicon.a.</v>
      </c>
      <c r="I803" s="2" t="s">
        <v>613</v>
      </c>
      <c r="J803" s="46">
        <f>VLOOKUP(Table1[[#This Row],[Status]],Auxiliar!$B$16:$C$24,2,0)</f>
        <v>1</v>
      </c>
      <c r="K803" s="21" t="s">
        <v>1243</v>
      </c>
      <c r="L803" s="21" t="s">
        <v>1252</v>
      </c>
      <c r="M803" s="21" t="s">
        <v>1253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1304</v>
      </c>
      <c r="E804" s="2" t="s">
        <v>38</v>
      </c>
      <c r="F804" s="13" t="s">
        <v>217</v>
      </c>
      <c r="G804" s="13" t="s">
        <v>38</v>
      </c>
      <c r="H804" s="58" t="str">
        <f>Table1[[#This Row],[Tabela]]&amp;Table1[[#This Row],[Campo]]</f>
        <v>modesg_inp_risco_fisicon.a.</v>
      </c>
      <c r="I804" s="2" t="s">
        <v>613</v>
      </c>
      <c r="J804" s="46">
        <f>VLOOKUP(Table1[[#This Row],[Status]],Auxiliar!$B$16:$C$24,2,0)</f>
        <v>1</v>
      </c>
      <c r="K804" s="21" t="s">
        <v>1290</v>
      </c>
      <c r="L804" s="21" t="s">
        <v>1244</v>
      </c>
      <c r="M804" s="21" t="s">
        <v>1253</v>
      </c>
      <c r="N804" s="48">
        <v>45485</v>
      </c>
      <c r="O804" s="21">
        <f>INDEX(Auxiliar!$D$5:$F$13,MATCH(Table1[[#This Row],[Tipologia_Testes]],Auxiliar!$B$5:$B$13,0),MATCH(Table1[[#This Row],[Complexidade]],Auxiliar!$D$4:$F$4,0))</f>
        <v>0.5</v>
      </c>
      <c r="P804" s="2" t="s">
        <v>1302</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1296</v>
      </c>
      <c r="E805" s="2" t="s">
        <v>38</v>
      </c>
      <c r="F805" s="13" t="s">
        <v>218</v>
      </c>
      <c r="G805" s="13" t="s">
        <v>38</v>
      </c>
      <c r="H805" s="58" t="str">
        <f>Table1[[#This Row],[Tabela]]&amp;Table1[[#This Row],[Campo]]</f>
        <v>modesg_inp_emss_scibn.a.</v>
      </c>
      <c r="I805" s="2" t="s">
        <v>613</v>
      </c>
      <c r="J805" s="46">
        <f>VLOOKUP(Table1[[#This Row],[Status]],Auxiliar!$B$16:$C$24,2,0)</f>
        <v>1</v>
      </c>
      <c r="K805" s="21" t="s">
        <v>1243</v>
      </c>
      <c r="L805" s="21" t="s">
        <v>1252</v>
      </c>
      <c r="M805" s="21" t="s">
        <v>1253</v>
      </c>
      <c r="N805" s="48">
        <v>45490</v>
      </c>
      <c r="O805" s="21">
        <f>INDEX(Auxiliar!$D$5:$F$13,MATCH(Table1[[#This Row],[Tipologia_Testes]],Auxiliar!$B$5:$B$13,0),MATCH(Table1[[#This Row],[Complexidade]],Auxiliar!$D$4:$F$4,0))</f>
        <v>8</v>
      </c>
      <c r="P805" s="2"/>
      <c r="Q805" s="2" t="s">
        <v>1299</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1296</v>
      </c>
      <c r="E806" s="2" t="s">
        <v>38</v>
      </c>
      <c r="F806" s="13" t="s">
        <v>218</v>
      </c>
      <c r="G806" s="13" t="s">
        <v>38</v>
      </c>
      <c r="H806" s="58" t="str">
        <f>Table1[[#This Row],[Tabela]]&amp;Table1[[#This Row],[Campo]]</f>
        <v>modesg_inp_emss_scibn.a.</v>
      </c>
      <c r="I806" s="2" t="s">
        <v>613</v>
      </c>
      <c r="J806" s="46">
        <f>VLOOKUP(Table1[[#This Row],[Status]],Auxiliar!$B$16:$C$24,2,0)</f>
        <v>1</v>
      </c>
      <c r="K806" s="21" t="s">
        <v>1290</v>
      </c>
      <c r="L806" s="21" t="s">
        <v>1244</v>
      </c>
      <c r="M806" s="21" t="s">
        <v>1253</v>
      </c>
      <c r="N806" s="48">
        <v>45490</v>
      </c>
      <c r="O806" s="21">
        <f>INDEX(Auxiliar!$D$5:$F$13,MATCH(Table1[[#This Row],[Tipologia_Testes]],Auxiliar!$B$5:$B$13,0),MATCH(Table1[[#This Row],[Complexidade]],Auxiliar!$D$4:$F$4,0))</f>
        <v>0.5</v>
      </c>
      <c r="P806" s="2"/>
      <c r="Q806" s="2" t="s">
        <v>1299</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1296</v>
      </c>
      <c r="E807" s="2" t="s">
        <v>38</v>
      </c>
      <c r="F807" s="13" t="s">
        <v>219</v>
      </c>
      <c r="G807" s="13" t="s">
        <v>38</v>
      </c>
      <c r="H807" s="58" t="str">
        <f>Table1[[#This Row],[Tabela]]&amp;Table1[[#This Row],[Campo]]</f>
        <v>modesg_inp_emss_nacen.a.</v>
      </c>
      <c r="I807" s="2" t="s">
        <v>613</v>
      </c>
      <c r="J807" s="46">
        <f>VLOOKUP(Table1[[#This Row],[Status]],Auxiliar!$B$16:$C$24,2,0)</f>
        <v>1</v>
      </c>
      <c r="K807" s="21" t="s">
        <v>1243</v>
      </c>
      <c r="L807" s="21" t="s">
        <v>1252</v>
      </c>
      <c r="M807" s="21" t="s">
        <v>1253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1296</v>
      </c>
      <c r="E808" s="2" t="s">
        <v>38</v>
      </c>
      <c r="F808" s="13" t="s">
        <v>219</v>
      </c>
      <c r="G808" s="13" t="s">
        <v>38</v>
      </c>
      <c r="H808" s="58" t="str">
        <f>Table1[[#This Row],[Tabela]]&amp;Table1[[#This Row],[Campo]]</f>
        <v>modesg_inp_emss_nacen.a.</v>
      </c>
      <c r="I808" s="2" t="s">
        <v>613</v>
      </c>
      <c r="J808" s="46">
        <f>VLOOKUP(Table1[[#This Row],[Status]],Auxiliar!$B$16:$C$24,2,0)</f>
        <v>1</v>
      </c>
      <c r="K808" s="21" t="s">
        <v>1290</v>
      </c>
      <c r="L808" s="21" t="s">
        <v>1244</v>
      </c>
      <c r="M808" s="21" t="s">
        <v>1253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1296</v>
      </c>
      <c r="E809" s="2" t="s">
        <v>38</v>
      </c>
      <c r="F809" s="13" t="s">
        <v>220</v>
      </c>
      <c r="G809" s="13" t="s">
        <v>38</v>
      </c>
      <c r="H809" s="58" t="str">
        <f>Table1[[#This Row],[Tabela]]&amp;Table1[[#This Row],[Campo]]</f>
        <v>modesg_inp_emss_bens_imoveisn.a.</v>
      </c>
      <c r="I809" s="2" t="s">
        <v>613</v>
      </c>
      <c r="J809" s="46">
        <f>VLOOKUP(Table1[[#This Row],[Status]],Auxiliar!$B$16:$C$24,2,0)</f>
        <v>1</v>
      </c>
      <c r="K809" s="21" t="s">
        <v>1243</v>
      </c>
      <c r="L809" s="21" t="s">
        <v>1252</v>
      </c>
      <c r="M809" s="21" t="s">
        <v>1253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1296</v>
      </c>
      <c r="E810" s="2" t="s">
        <v>38</v>
      </c>
      <c r="F810" s="13" t="s">
        <v>220</v>
      </c>
      <c r="G810" s="13" t="s">
        <v>38</v>
      </c>
      <c r="H810" s="58" t="str">
        <f>Table1[[#This Row],[Tabela]]&amp;Table1[[#This Row],[Campo]]</f>
        <v>modesg_inp_emss_bens_imoveisn.a.</v>
      </c>
      <c r="I810" s="2" t="s">
        <v>613</v>
      </c>
      <c r="J810" s="46">
        <f>VLOOKUP(Table1[[#This Row],[Status]],Auxiliar!$B$16:$C$24,2,0)</f>
        <v>1</v>
      </c>
      <c r="K810" s="21" t="s">
        <v>1290</v>
      </c>
      <c r="L810" s="21" t="s">
        <v>1244</v>
      </c>
      <c r="M810" s="21" t="s">
        <v>1253</v>
      </c>
      <c r="N810" s="48">
        <v>45546</v>
      </c>
      <c r="O810" s="21">
        <f>INDEX(Auxiliar!$D$5:$F$13,MATCH(Table1[[#This Row],[Tipologia_Testes]],Auxiliar!$B$5:$B$13,0),MATCH(Table1[[#This Row],[Complexidade]],Auxiliar!$D$4:$F$4,0))</f>
        <v>0.5</v>
      </c>
      <c r="P810" s="2" t="s">
        <v>1305</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1296</v>
      </c>
      <c r="E811" s="2" t="s">
        <v>38</v>
      </c>
      <c r="F811" s="13" t="s">
        <v>213</v>
      </c>
      <c r="G811" s="13" t="s">
        <v>208</v>
      </c>
      <c r="H811" s="58" t="str">
        <f>Table1[[#This Row],[Tabela]]&amp;Table1[[#This Row],[Campo]]</f>
        <v>modesg_inp_emss_vclsref_date</v>
      </c>
      <c r="I811" s="2" t="s">
        <v>613</v>
      </c>
      <c r="J811" s="46">
        <f>VLOOKUP(Table1[[#This Row],[Status]],Auxiliar!$B$16:$C$24,2,0)</f>
        <v>1</v>
      </c>
      <c r="K811" s="21" t="s">
        <v>1257</v>
      </c>
      <c r="L811" s="21" t="s">
        <v>1252</v>
      </c>
      <c r="M811" s="21" t="s">
        <v>1254</v>
      </c>
      <c r="N811" s="48">
        <v>45546</v>
      </c>
      <c r="O811" s="21">
        <f>INDEX(Auxiliar!$D$5:$F$13,MATCH(Table1[[#This Row],[Tipologia_Testes]],Auxiliar!$B$5:$B$13,0),MATCH(Table1[[#This Row],[Complexidade]],Auxiliar!$D$4:$F$4,0))</f>
        <v>0.5</v>
      </c>
      <c r="P811" s="2" t="s">
        <v>1306</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1296</v>
      </c>
      <c r="E812" s="2" t="s">
        <v>38</v>
      </c>
      <c r="F812" s="13" t="s">
        <v>213</v>
      </c>
      <c r="G812" s="13" t="s">
        <v>221</v>
      </c>
      <c r="H812" s="58" t="str">
        <f>Table1[[#This Row],[Tabela]]&amp;Table1[[#This Row],[Campo]]</f>
        <v>modesg_inp_emss_vclsnome_regiao</v>
      </c>
      <c r="I812" s="2" t="s">
        <v>613</v>
      </c>
      <c r="J812" s="46">
        <f>VLOOKUP(Table1[[#This Row],[Status]],Auxiliar!$B$16:$C$24,2,0)</f>
        <v>1</v>
      </c>
      <c r="K812" s="21" t="s">
        <v>1249</v>
      </c>
      <c r="L812" s="21" t="s">
        <v>1244</v>
      </c>
      <c r="M812" s="21" t="s">
        <v>1254</v>
      </c>
      <c r="N812" s="48">
        <v>45546</v>
      </c>
      <c r="O812" s="21">
        <f>INDEX(Auxiliar!$D$5:$F$13,MATCH(Table1[[#This Row],[Tipologia_Testes]],Auxiliar!$B$5:$B$13,0),MATCH(Table1[[#This Row],[Complexidade]],Auxiliar!$D$4:$F$4,0))</f>
        <v>0.1</v>
      </c>
      <c r="P812" s="2" t="s">
        <v>1307</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1296</v>
      </c>
      <c r="E813" s="2" t="s">
        <v>38</v>
      </c>
      <c r="F813" s="13" t="s">
        <v>213</v>
      </c>
      <c r="G813" s="13" t="s">
        <v>221</v>
      </c>
      <c r="H813" s="58" t="str">
        <f>Table1[[#This Row],[Tabela]]&amp;Table1[[#This Row],[Campo]]</f>
        <v>modesg_inp_emss_vclsnome_regiao</v>
      </c>
      <c r="I813" s="2" t="s">
        <v>613</v>
      </c>
      <c r="J813" s="46">
        <f>VLOOKUP(Table1[[#This Row],[Status]],Auxiliar!$B$16:$C$24,2,0)</f>
        <v>1</v>
      </c>
      <c r="K813" s="21" t="s">
        <v>1257</v>
      </c>
      <c r="L813" s="21" t="s">
        <v>1244</v>
      </c>
      <c r="M813" s="21" t="s">
        <v>1254</v>
      </c>
      <c r="N813" s="48">
        <v>45546</v>
      </c>
      <c r="O813" s="21">
        <f>INDEX(Auxiliar!$D$5:$F$13,MATCH(Table1[[#This Row],[Tipologia_Testes]],Auxiliar!$B$5:$B$13,0),MATCH(Table1[[#This Row],[Complexidade]],Auxiliar!$D$4:$F$4,0))</f>
        <v>0.5</v>
      </c>
      <c r="P813" s="23" t="s">
        <v>1308</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222</v>
      </c>
      <c r="H814" s="58" t="str">
        <f>Table1[[#This Row],[Tabela]]&amp;Table1[[#This Row],[Campo]]</f>
        <v>modesg_inp_emss_vclsnome_pais</v>
      </c>
      <c r="I814" s="2" t="s">
        <v>613</v>
      </c>
      <c r="J814" s="46">
        <f>VLOOKUP(Table1[[#This Row],[Status]],Auxiliar!$B$16:$C$24,2,0)</f>
        <v>1</v>
      </c>
      <c r="K814" s="21" t="s">
        <v>1249</v>
      </c>
      <c r="L814" s="2" t="s">
        <v>1244</v>
      </c>
      <c r="M814" s="21" t="s">
        <v>1254</v>
      </c>
      <c r="N814" s="48">
        <v>45546</v>
      </c>
      <c r="O814" s="21">
        <f>INDEX(Auxiliar!$D$5:$F$13,MATCH(Table1[[#This Row],[Tipologia_Testes]],Auxiliar!$B$5:$B$13,0),MATCH(Table1[[#This Row],[Complexidade]],Auxiliar!$D$4:$F$4,0))</f>
        <v>0.1</v>
      </c>
      <c r="P814" s="2" t="s">
        <v>1307</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1296</v>
      </c>
      <c r="E815" s="2" t="s">
        <v>38</v>
      </c>
      <c r="F815" s="13" t="s">
        <v>213</v>
      </c>
      <c r="G815" s="13" t="s">
        <v>222</v>
      </c>
      <c r="H815" s="58" t="str">
        <f>Table1[[#This Row],[Tabela]]&amp;Table1[[#This Row],[Campo]]</f>
        <v>modesg_inp_emss_vclsnome_pais</v>
      </c>
      <c r="I815" s="2" t="s">
        <v>613</v>
      </c>
      <c r="J815" s="46">
        <f>VLOOKUP(Table1[[#This Row],[Status]],Auxiliar!$B$16:$C$24,2,0)</f>
        <v>1</v>
      </c>
      <c r="K815" s="21" t="s">
        <v>1257</v>
      </c>
      <c r="L815" s="2" t="s">
        <v>1244</v>
      </c>
      <c r="M815" s="21" t="s">
        <v>1254</v>
      </c>
      <c r="N815" s="48">
        <v>45546</v>
      </c>
      <c r="O815" s="21">
        <f>INDEX(Auxiliar!$D$5:$F$13,MATCH(Table1[[#This Row],[Tipologia_Testes]],Auxiliar!$B$5:$B$13,0),MATCH(Table1[[#This Row],[Complexidade]],Auxiliar!$D$4:$F$4,0))</f>
        <v>0.5</v>
      </c>
      <c r="P815" s="23" t="s">
        <v>1308</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1296</v>
      </c>
      <c r="E816" s="2" t="s">
        <v>38</v>
      </c>
      <c r="F816" s="13" t="s">
        <v>213</v>
      </c>
      <c r="G816" s="13" t="s">
        <v>223</v>
      </c>
      <c r="H816" s="58" t="str">
        <f>Table1[[#This Row],[Tabela]]&amp;Table1[[#This Row],[Campo]]</f>
        <v>modesg_inp_emss_vclsnome_estado</v>
      </c>
      <c r="I816" s="2" t="s">
        <v>613</v>
      </c>
      <c r="J816" s="46">
        <f>VLOOKUP(Table1[[#This Row],[Status]],Auxiliar!$B$16:$C$24,2,0)</f>
        <v>1</v>
      </c>
      <c r="K816" s="21" t="s">
        <v>1257</v>
      </c>
      <c r="L816" s="21" t="s">
        <v>1252</v>
      </c>
      <c r="M816" s="21" t="s">
        <v>1254</v>
      </c>
      <c r="N816" s="48">
        <v>45546</v>
      </c>
      <c r="O816" s="21">
        <f>INDEX(Auxiliar!$D$5:$F$13,MATCH(Table1[[#This Row],[Tipologia_Testes]],Auxiliar!$B$5:$B$13,0),MATCH(Table1[[#This Row],[Complexidade]],Auxiliar!$D$4:$F$4,0))</f>
        <v>0.5</v>
      </c>
      <c r="P816" s="2" t="s">
        <v>1306</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224</v>
      </c>
      <c r="H817" s="58" t="str">
        <f>Table1[[#This Row],[Tabela]]&amp;Table1[[#This Row],[Campo]]</f>
        <v>modesg_inp_emss_vclstipo_veiculo</v>
      </c>
      <c r="I817" s="2" t="s">
        <v>613</v>
      </c>
      <c r="J817" s="46">
        <f>VLOOKUP(Table1[[#This Row],[Status]],Auxiliar!$B$16:$C$24,2,0)</f>
        <v>1</v>
      </c>
      <c r="K817" s="21" t="s">
        <v>1249</v>
      </c>
      <c r="L817" s="21" t="s">
        <v>1252</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1296</v>
      </c>
      <c r="E818" s="2" t="s">
        <v>38</v>
      </c>
      <c r="F818" s="13" t="s">
        <v>213</v>
      </c>
      <c r="G818" s="13" t="s">
        <v>224</v>
      </c>
      <c r="H818" s="58" t="str">
        <f>Table1[[#This Row],[Tabela]]&amp;Table1[[#This Row],[Campo]]</f>
        <v>modesg_inp_emss_vclstipo_veiculo</v>
      </c>
      <c r="I818" s="2" t="s">
        <v>613</v>
      </c>
      <c r="J818" s="46">
        <f>VLOOKUP(Table1[[#This Row],[Status]],Auxiliar!$B$16:$C$24,2,0)</f>
        <v>1</v>
      </c>
      <c r="K818" s="21" t="s">
        <v>1257</v>
      </c>
      <c r="L818" s="21" t="s">
        <v>1252</v>
      </c>
      <c r="M818" s="21" t="s">
        <v>1254</v>
      </c>
      <c r="N818" s="48">
        <v>45546</v>
      </c>
      <c r="O818" s="21">
        <f>INDEX(Auxiliar!$D$5:$F$13,MATCH(Table1[[#This Row],[Tipologia_Testes]],Auxiliar!$B$5:$B$13,0),MATCH(Table1[[#This Row],[Complexidade]],Auxiliar!$D$4:$F$4,0))</f>
        <v>0.5</v>
      </c>
      <c r="P818" s="2" t="s">
        <v>1306</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225</v>
      </c>
      <c r="H819" s="58" t="str">
        <f>Table1[[#This Row],[Tabela]]&amp;Table1[[#This Row],[Campo]]</f>
        <v>modesg_inp_emss_vclstipo_motor</v>
      </c>
      <c r="I819" s="2" t="s">
        <v>613</v>
      </c>
      <c r="J819" s="46">
        <f>VLOOKUP(Table1[[#This Row],[Status]],Auxiliar!$B$16:$C$24,2,0)</f>
        <v>1</v>
      </c>
      <c r="K819" s="21" t="s">
        <v>1249</v>
      </c>
      <c r="L819" s="21" t="s">
        <v>1252</v>
      </c>
      <c r="M819" s="21" t="s">
        <v>1254</v>
      </c>
      <c r="N819" s="48">
        <v>45546</v>
      </c>
      <c r="O819" s="21">
        <f>INDEX(Auxiliar!$D$5:$F$13,MATCH(Table1[[#This Row],[Tipologia_Testes]],Auxiliar!$B$5:$B$13,0),MATCH(Table1[[#This Row],[Complexidade]],Auxiliar!$D$4:$F$4,0))</f>
        <v>0.1</v>
      </c>
      <c r="P819" s="2" t="s">
        <v>1307</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1296</v>
      </c>
      <c r="E820" s="2" t="s">
        <v>38</v>
      </c>
      <c r="F820" s="13" t="s">
        <v>213</v>
      </c>
      <c r="G820" s="13" t="s">
        <v>225</v>
      </c>
      <c r="H820" s="58" t="str">
        <f>Table1[[#This Row],[Tabela]]&amp;Table1[[#This Row],[Campo]]</f>
        <v>modesg_inp_emss_vclstipo_motor</v>
      </c>
      <c r="I820" s="2" t="s">
        <v>613</v>
      </c>
      <c r="J820" s="46">
        <f>VLOOKUP(Table1[[#This Row],[Status]],Auxiliar!$B$16:$C$24,2,0)</f>
        <v>1</v>
      </c>
      <c r="K820" s="21" t="s">
        <v>1257</v>
      </c>
      <c r="L820" s="21" t="s">
        <v>1252</v>
      </c>
      <c r="M820" s="21" t="s">
        <v>1254</v>
      </c>
      <c r="N820" s="48">
        <v>45546</v>
      </c>
      <c r="O820" s="21">
        <f>INDEX(Auxiliar!$D$5:$F$13,MATCH(Table1[[#This Row],[Tipologia_Testes]],Auxiliar!$B$5:$B$13,0),MATCH(Table1[[#This Row],[Complexidade]],Auxiliar!$D$4:$F$4,0))</f>
        <v>0.5</v>
      </c>
      <c r="P820" s="2" t="s">
        <v>1306</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1296</v>
      </c>
      <c r="E821" s="2" t="s">
        <v>38</v>
      </c>
      <c r="F821" s="13" t="s">
        <v>213</v>
      </c>
      <c r="G821" s="13" t="s">
        <v>226</v>
      </c>
      <c r="H821" s="58" t="str">
        <f>Table1[[#This Row],[Tabela]]&amp;Table1[[#This Row],[Campo]]</f>
        <v>modesg_inp_emss_vclsmarca</v>
      </c>
      <c r="I821" s="2" t="s">
        <v>613</v>
      </c>
      <c r="J821" s="46">
        <f>VLOOKUP(Table1[[#This Row],[Status]],Auxiliar!$B$16:$C$24,2,0)</f>
        <v>1</v>
      </c>
      <c r="K821" s="21" t="s">
        <v>1249</v>
      </c>
      <c r="L821" s="2" t="s">
        <v>1244</v>
      </c>
      <c r="M821" s="21" t="s">
        <v>1254</v>
      </c>
      <c r="N821" s="48">
        <v>45546</v>
      </c>
      <c r="O821" s="21">
        <f>INDEX(Auxiliar!$D$5:$F$13,MATCH(Table1[[#This Row],[Tipologia_Testes]],Auxiliar!$B$5:$B$13,0),MATCH(Table1[[#This Row],[Complexidade]],Auxiliar!$D$4:$F$4,0))</f>
        <v>0.1</v>
      </c>
      <c r="P821" s="2" t="s">
        <v>1307</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1296</v>
      </c>
      <c r="E822" s="2" t="s">
        <v>38</v>
      </c>
      <c r="F822" s="13" t="s">
        <v>213</v>
      </c>
      <c r="G822" s="13" t="s">
        <v>226</v>
      </c>
      <c r="H822" s="58" t="str">
        <f>Table1[[#This Row],[Tabela]]&amp;Table1[[#This Row],[Campo]]</f>
        <v>modesg_inp_emss_vclsmarca</v>
      </c>
      <c r="I822" s="2" t="s">
        <v>613</v>
      </c>
      <c r="J822" s="46">
        <f>VLOOKUP(Table1[[#This Row],[Status]],Auxiliar!$B$16:$C$24,2,0)</f>
        <v>1</v>
      </c>
      <c r="K822" s="21" t="s">
        <v>1257</v>
      </c>
      <c r="L822" s="2" t="s">
        <v>1244</v>
      </c>
      <c r="M822" s="21" t="s">
        <v>1254</v>
      </c>
      <c r="N822" s="48">
        <v>45546</v>
      </c>
      <c r="O822" s="21">
        <f>INDEX(Auxiliar!$D$5:$F$13,MATCH(Table1[[#This Row],[Tipologia_Testes]],Auxiliar!$B$5:$B$13,0),MATCH(Table1[[#This Row],[Complexidade]],Auxiliar!$D$4:$F$4,0))</f>
        <v>0.5</v>
      </c>
      <c r="P822" s="23" t="s">
        <v>1308</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1296</v>
      </c>
      <c r="E823" s="2" t="s">
        <v>38</v>
      </c>
      <c r="F823" s="13" t="s">
        <v>213</v>
      </c>
      <c r="G823" s="13" t="s">
        <v>227</v>
      </c>
      <c r="H823" s="58" t="str">
        <f>Table1[[#This Row],[Tabela]]&amp;Table1[[#This Row],[Campo]]</f>
        <v>modesg_inp_emss_vclsmodelo</v>
      </c>
      <c r="I823" s="2" t="s">
        <v>613</v>
      </c>
      <c r="J823" s="46">
        <f>VLOOKUP(Table1[[#This Row],[Status]],Auxiliar!$B$16:$C$24,2,0)</f>
        <v>1</v>
      </c>
      <c r="K823" s="21" t="s">
        <v>1249</v>
      </c>
      <c r="L823" s="2" t="s">
        <v>1244</v>
      </c>
      <c r="M823" s="21" t="s">
        <v>1254</v>
      </c>
      <c r="N823" s="48">
        <v>45546</v>
      </c>
      <c r="O823" s="21">
        <f>INDEX(Auxiliar!$D$5:$F$13,MATCH(Table1[[#This Row],[Tipologia_Testes]],Auxiliar!$B$5:$B$13,0),MATCH(Table1[[#This Row],[Complexidade]],Auxiliar!$D$4:$F$4,0))</f>
        <v>0.1</v>
      </c>
      <c r="P823" s="2" t="s">
        <v>1307</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1296</v>
      </c>
      <c r="E824" s="2" t="s">
        <v>38</v>
      </c>
      <c r="F824" s="13" t="s">
        <v>213</v>
      </c>
      <c r="G824" s="13" t="s">
        <v>227</v>
      </c>
      <c r="H824" s="58" t="str">
        <f>Table1[[#This Row],[Tabela]]&amp;Table1[[#This Row],[Campo]]</f>
        <v>modesg_inp_emss_vclsmodelo</v>
      </c>
      <c r="I824" s="2" t="s">
        <v>613</v>
      </c>
      <c r="J824" s="46">
        <f>VLOOKUP(Table1[[#This Row],[Status]],Auxiliar!$B$16:$C$24,2,0)</f>
        <v>1</v>
      </c>
      <c r="K824" s="21" t="s">
        <v>1257</v>
      </c>
      <c r="L824" s="2" t="s">
        <v>1244</v>
      </c>
      <c r="M824" s="21" t="s">
        <v>1254</v>
      </c>
      <c r="N824" s="48">
        <v>45546</v>
      </c>
      <c r="O824" s="21">
        <f>INDEX(Auxiliar!$D$5:$F$13,MATCH(Table1[[#This Row],[Tipologia_Testes]],Auxiliar!$B$5:$B$13,0),MATCH(Table1[[#This Row],[Complexidade]],Auxiliar!$D$4:$F$4,0))</f>
        <v>0.5</v>
      </c>
      <c r="P824" s="23" t="s">
        <v>1308</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1296</v>
      </c>
      <c r="E825" s="2" t="s">
        <v>38</v>
      </c>
      <c r="F825" s="13" t="s">
        <v>213</v>
      </c>
      <c r="G825" s="13" t="s">
        <v>228</v>
      </c>
      <c r="H825" s="58" t="str">
        <f>Table1[[#This Row],[Tabela]]&amp;Table1[[#This Row],[Campo]]</f>
        <v>modesg_inp_emss_vclssubgrupo</v>
      </c>
      <c r="I825" s="2" t="s">
        <v>613</v>
      </c>
      <c r="J825" s="46">
        <f>VLOOKUP(Table1[[#This Row],[Status]],Auxiliar!$B$16:$C$24,2,0)</f>
        <v>1</v>
      </c>
      <c r="K825" s="21" t="s">
        <v>1249</v>
      </c>
      <c r="L825" s="2" t="s">
        <v>650</v>
      </c>
      <c r="M825" s="21" t="s">
        <v>1254</v>
      </c>
      <c r="N825" s="48">
        <v>45546</v>
      </c>
      <c r="O825" s="21">
        <f>INDEX(Auxiliar!$D$5:$F$13,MATCH(Table1[[#This Row],[Tipologia_Testes]],Auxiliar!$B$5:$B$13,0),MATCH(Table1[[#This Row],[Complexidade]],Auxiliar!$D$4:$F$4,0))</f>
        <v>0.1</v>
      </c>
      <c r="P825" s="2" t="s">
        <v>1307</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1296</v>
      </c>
      <c r="E826" s="2" t="s">
        <v>38</v>
      </c>
      <c r="F826" s="13" t="s">
        <v>213</v>
      </c>
      <c r="G826" s="13" t="s">
        <v>228</v>
      </c>
      <c r="H826" s="58" t="str">
        <f>Table1[[#This Row],[Tabela]]&amp;Table1[[#This Row],[Campo]]</f>
        <v>modesg_inp_emss_vclssubgrupo</v>
      </c>
      <c r="I826" s="2" t="s">
        <v>613</v>
      </c>
      <c r="J826" s="46">
        <f>VLOOKUP(Table1[[#This Row],[Status]],Auxiliar!$B$16:$C$24,2,0)</f>
        <v>1</v>
      </c>
      <c r="K826" s="21" t="s">
        <v>1257</v>
      </c>
      <c r="L826" s="2" t="s">
        <v>650</v>
      </c>
      <c r="M826" s="21" t="s">
        <v>1254</v>
      </c>
      <c r="N826" s="48">
        <v>45546</v>
      </c>
      <c r="O826" s="21">
        <f>INDEX(Auxiliar!$D$5:$F$13,MATCH(Table1[[#This Row],[Tipologia_Testes]],Auxiliar!$B$5:$B$13,0),MATCH(Table1[[#This Row],[Complexidade]],Auxiliar!$D$4:$F$4,0))</f>
        <v>0.5</v>
      </c>
      <c r="P826" s="2" t="s">
        <v>1306</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1296</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1249</v>
      </c>
      <c r="L827" s="21" t="s">
        <v>1252</v>
      </c>
      <c r="M827" s="21" t="s">
        <v>1254</v>
      </c>
      <c r="N827" s="48">
        <v>45546</v>
      </c>
      <c r="O827" s="21">
        <f>INDEX(Auxiliar!$D$5:$F$13,MATCH(Table1[[#This Row],[Tipologia_Testes]],Auxiliar!$B$5:$B$13,0),MATCH(Table1[[#This Row],[Complexidade]],Auxiliar!$D$4:$F$4,0))</f>
        <v>0.1</v>
      </c>
      <c r="P827" s="2" t="s">
        <v>1307</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1296</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1257</v>
      </c>
      <c r="L828" s="21" t="s">
        <v>1252</v>
      </c>
      <c r="M828" s="21" t="s">
        <v>1254</v>
      </c>
      <c r="N828" s="48">
        <v>45546</v>
      </c>
      <c r="O828" s="21">
        <f>INDEX(Auxiliar!$D$5:$F$13,MATCH(Table1[[#This Row],[Tipologia_Testes]],Auxiliar!$B$5:$B$13,0),MATCH(Table1[[#This Row],[Complexidade]],Auxiliar!$D$4:$F$4,0))</f>
        <v>0.5</v>
      </c>
      <c r="P828" s="2" t="s">
        <v>1306</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1296</v>
      </c>
      <c r="E829" s="2" t="s">
        <v>38</v>
      </c>
      <c r="F829" s="13" t="s">
        <v>213</v>
      </c>
      <c r="G829" s="13" t="s">
        <v>230</v>
      </c>
      <c r="H829" s="58" t="str">
        <f>Table1[[#This Row],[Tabela]]&amp;Table1[[#This Row],[Campo]]</f>
        <v>modesg_inp_emss_vclsunidade_funcional</v>
      </c>
      <c r="I829" s="2" t="s">
        <v>613</v>
      </c>
      <c r="J829" s="46">
        <f>VLOOKUP(Table1[[#This Row],[Status]],Auxiliar!$B$16:$C$24,2,0)</f>
        <v>1</v>
      </c>
      <c r="K829" s="21" t="s">
        <v>1249</v>
      </c>
      <c r="L829" s="21" t="s">
        <v>1252</v>
      </c>
      <c r="M829" s="21" t="s">
        <v>1254</v>
      </c>
      <c r="N829" s="48">
        <v>45546</v>
      </c>
      <c r="O829" s="21">
        <f>INDEX(Auxiliar!$D$5:$F$13,MATCH(Table1[[#This Row],[Tipologia_Testes]],Auxiliar!$B$5:$B$13,0),MATCH(Table1[[#This Row],[Complexidade]],Auxiliar!$D$4:$F$4,0))</f>
        <v>0.1</v>
      </c>
      <c r="P829" s="2" t="s">
        <v>1307</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1296</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1257</v>
      </c>
      <c r="L830" s="21" t="s">
        <v>1252</v>
      </c>
      <c r="M830" s="21" t="s">
        <v>1254</v>
      </c>
      <c r="N830" s="48">
        <v>45546</v>
      </c>
      <c r="O830" s="21">
        <f>INDEX(Auxiliar!$D$5:$F$13,MATCH(Table1[[#This Row],[Tipologia_Testes]],Auxiliar!$B$5:$B$13,0),MATCH(Table1[[#This Row],[Complexidade]],Auxiliar!$D$4:$F$4,0))</f>
        <v>0.5</v>
      </c>
      <c r="P830" s="2" t="s">
        <v>1306</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1296</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1249</v>
      </c>
      <c r="L831" s="21" t="s">
        <v>1252</v>
      </c>
      <c r="M831" s="21" t="s">
        <v>1254</v>
      </c>
      <c r="N831" s="48">
        <v>45546</v>
      </c>
      <c r="O831" s="21">
        <f>INDEX(Auxiliar!$D$5:$F$13,MATCH(Table1[[#This Row],[Tipologia_Testes]],Auxiliar!$B$5:$B$13,0),MATCH(Table1[[#This Row],[Complexidade]],Auxiliar!$D$4:$F$4,0))</f>
        <v>0.1</v>
      </c>
      <c r="P831" s="2" t="s">
        <v>1307</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1296</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1257</v>
      </c>
      <c r="L832" s="21" t="s">
        <v>1252</v>
      </c>
      <c r="M832" s="21" t="s">
        <v>1254</v>
      </c>
      <c r="N832" s="48">
        <v>45546</v>
      </c>
      <c r="O832" s="21">
        <f>INDEX(Auxiliar!$D$5:$F$13,MATCH(Table1[[#This Row],[Tipologia_Testes]],Auxiliar!$B$5:$B$13,0),MATCH(Table1[[#This Row],[Complexidade]],Auxiliar!$D$4:$F$4,0))</f>
        <v>0.5</v>
      </c>
      <c r="P832" s="2" t="s">
        <v>1306</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1296</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1249</v>
      </c>
      <c r="L833" s="21" t="s">
        <v>1252</v>
      </c>
      <c r="M833" s="21" t="s">
        <v>1254</v>
      </c>
      <c r="N833" s="48">
        <v>45546</v>
      </c>
      <c r="O833" s="21">
        <f>INDEX(Auxiliar!$D$5:$F$13,MATCH(Table1[[#This Row],[Tipologia_Testes]],Auxiliar!$B$5:$B$13,0),MATCH(Table1[[#This Row],[Complexidade]],Auxiliar!$D$4:$F$4,0))</f>
        <v>0.1</v>
      </c>
      <c r="P833" s="2" t="s">
        <v>1307</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1296</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1257</v>
      </c>
      <c r="L834" s="21" t="s">
        <v>1252</v>
      </c>
      <c r="M834" s="21" t="s">
        <v>1254</v>
      </c>
      <c r="N834" s="48">
        <v>45546</v>
      </c>
      <c r="O834" s="21">
        <f>INDEX(Auxiliar!$D$5:$F$13,MATCH(Table1[[#This Row],[Tipologia_Testes]],Auxiliar!$B$5:$B$13,0),MATCH(Table1[[#This Row],[Complexidade]],Auxiliar!$D$4:$F$4,0))</f>
        <v>0.5</v>
      </c>
      <c r="P834" s="2" t="s">
        <v>1306</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1296</v>
      </c>
      <c r="E835" s="2" t="s">
        <v>38</v>
      </c>
      <c r="F835" s="13" t="s">
        <v>213</v>
      </c>
      <c r="G835" s="13" t="s">
        <v>233</v>
      </c>
      <c r="H835" s="58" t="str">
        <f>Table1[[#This Row],[Tabela]]&amp;Table1[[#This Row],[Campo]]</f>
        <v>modesg_inp_emss_vclsscore_qualidade</v>
      </c>
      <c r="I835" s="2" t="s">
        <v>613</v>
      </c>
      <c r="J835" s="46">
        <f>VLOOKUP(Table1[[#This Row],[Status]],Auxiliar!$B$16:$C$24,2,0)</f>
        <v>1</v>
      </c>
      <c r="K835" s="21" t="s">
        <v>1249</v>
      </c>
      <c r="L835" s="2" t="s">
        <v>1244</v>
      </c>
      <c r="M835" s="21" t="s">
        <v>1254</v>
      </c>
      <c r="N835" s="48">
        <v>45546</v>
      </c>
      <c r="O835" s="21">
        <f>INDEX(Auxiliar!$D$5:$F$13,MATCH(Table1[[#This Row],[Tipologia_Testes]],Auxiliar!$B$5:$B$13,0),MATCH(Table1[[#This Row],[Complexidade]],Auxiliar!$D$4:$F$4,0))</f>
        <v>0.1</v>
      </c>
      <c r="P835" s="2" t="s">
        <v>1307</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1296</v>
      </c>
      <c r="E836" s="2" t="s">
        <v>38</v>
      </c>
      <c r="F836" s="13" t="s">
        <v>213</v>
      </c>
      <c r="G836" s="13" t="s">
        <v>233</v>
      </c>
      <c r="H836" s="58" t="str">
        <f>Table1[[#This Row],[Tabela]]&amp;Table1[[#This Row],[Campo]]</f>
        <v>modesg_inp_emss_vclsscore_qualidade</v>
      </c>
      <c r="I836" s="2" t="s">
        <v>613</v>
      </c>
      <c r="J836" s="46">
        <f>VLOOKUP(Table1[[#This Row],[Status]],Auxiliar!$B$16:$C$24,2,0)</f>
        <v>1</v>
      </c>
      <c r="K836" s="21" t="s">
        <v>1257</v>
      </c>
      <c r="L836" s="2" t="s">
        <v>1244</v>
      </c>
      <c r="M836" s="21" t="s">
        <v>1254</v>
      </c>
      <c r="N836" s="48">
        <v>45546</v>
      </c>
      <c r="O836" s="21">
        <f>INDEX(Auxiliar!$D$5:$F$13,MATCH(Table1[[#This Row],[Tipologia_Testes]],Auxiliar!$B$5:$B$13,0),MATCH(Table1[[#This Row],[Complexidade]],Auxiliar!$D$4:$F$4,0))</f>
        <v>0.5</v>
      </c>
      <c r="P836" s="23" t="s">
        <v>1308</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1296</v>
      </c>
      <c r="E837" s="2" t="s">
        <v>38</v>
      </c>
      <c r="F837" s="13" t="s">
        <v>213</v>
      </c>
      <c r="G837" s="13" t="s">
        <v>234</v>
      </c>
      <c r="H837" s="58" t="str">
        <f>Table1[[#This Row],[Tabela]]&amp;Table1[[#This Row],[Campo]]</f>
        <v>modesg_inp_emss_vclsscp1_ftr_emss</v>
      </c>
      <c r="I837" s="2" t="s">
        <v>613</v>
      </c>
      <c r="J837" s="46">
        <f>VLOOKUP(Table1[[#This Row],[Status]],Auxiliar!$B$16:$C$24,2,0)</f>
        <v>1</v>
      </c>
      <c r="K837" s="21" t="s">
        <v>1249</v>
      </c>
      <c r="L837" s="2" t="s">
        <v>1244</v>
      </c>
      <c r="M837" s="21" t="s">
        <v>1254</v>
      </c>
      <c r="N837" s="48">
        <v>45546</v>
      </c>
      <c r="O837" s="21">
        <f>INDEX(Auxiliar!$D$5:$F$13,MATCH(Table1[[#This Row],[Tipologia_Testes]],Auxiliar!$B$5:$B$13,0),MATCH(Table1[[#This Row],[Complexidade]],Auxiliar!$D$4:$F$4,0))</f>
        <v>0.1</v>
      </c>
      <c r="P837" s="2" t="s">
        <v>1309</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1296</v>
      </c>
      <c r="E838" s="2" t="s">
        <v>38</v>
      </c>
      <c r="F838" s="13" t="s">
        <v>213</v>
      </c>
      <c r="G838" s="13" t="s">
        <v>234</v>
      </c>
      <c r="H838" s="58" t="str">
        <f>Table1[[#This Row],[Tabela]]&amp;Table1[[#This Row],[Campo]]</f>
        <v>modesg_inp_emss_vclsscp1_ftr_emss</v>
      </c>
      <c r="I838" s="2" t="s">
        <v>613</v>
      </c>
      <c r="J838" s="46">
        <f>VLOOKUP(Table1[[#This Row],[Status]],Auxiliar!$B$16:$C$24,2,0)</f>
        <v>1</v>
      </c>
      <c r="K838" s="21" t="s">
        <v>1257</v>
      </c>
      <c r="L838" s="2" t="s">
        <v>1244</v>
      </c>
      <c r="M838" s="21" t="s">
        <v>1254</v>
      </c>
      <c r="N838" s="48">
        <v>45546</v>
      </c>
      <c r="O838" s="21">
        <f>INDEX(Auxiliar!$D$5:$F$13,MATCH(Table1[[#This Row],[Tipologia_Testes]],Auxiliar!$B$5:$B$13,0),MATCH(Table1[[#This Row],[Complexidade]],Auxiliar!$D$4:$F$4,0))</f>
        <v>0.5</v>
      </c>
      <c r="P838" s="23" t="s">
        <v>1308</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1296</v>
      </c>
      <c r="E839" s="2" t="s">
        <v>38</v>
      </c>
      <c r="F839" s="13" t="s">
        <v>213</v>
      </c>
      <c r="G839" s="13" t="s">
        <v>235</v>
      </c>
      <c r="H839" s="58" t="str">
        <f>Table1[[#This Row],[Tabela]]&amp;Table1[[#This Row],[Campo]]</f>
        <v>modesg_inp_emss_vclsscp2_ftr_emss</v>
      </c>
      <c r="I839" s="2" t="s">
        <v>613</v>
      </c>
      <c r="J839" s="46">
        <f>VLOOKUP(Table1[[#This Row],[Status]],Auxiliar!$B$16:$C$24,2,0)</f>
        <v>1</v>
      </c>
      <c r="K839" s="21" t="s">
        <v>1249</v>
      </c>
      <c r="L839" s="2" t="s">
        <v>1244</v>
      </c>
      <c r="M839" s="21" t="s">
        <v>1254</v>
      </c>
      <c r="N839" s="48">
        <v>45546</v>
      </c>
      <c r="O839" s="21">
        <f>INDEX(Auxiliar!$D$5:$F$13,MATCH(Table1[[#This Row],[Tipologia_Testes]],Auxiliar!$B$5:$B$13,0),MATCH(Table1[[#This Row],[Complexidade]],Auxiliar!$D$4:$F$4,0))</f>
        <v>0.1</v>
      </c>
      <c r="P839" s="2" t="s">
        <v>1309</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1296</v>
      </c>
      <c r="E840" s="2" t="s">
        <v>38</v>
      </c>
      <c r="F840" s="13" t="s">
        <v>213</v>
      </c>
      <c r="G840" s="13" t="s">
        <v>235</v>
      </c>
      <c r="H840" s="58" t="str">
        <f>Table1[[#This Row],[Tabela]]&amp;Table1[[#This Row],[Campo]]</f>
        <v>modesg_inp_emss_vclsscp2_ftr_emss</v>
      </c>
      <c r="I840" s="2" t="s">
        <v>613</v>
      </c>
      <c r="J840" s="46">
        <f>VLOOKUP(Table1[[#This Row],[Status]],Auxiliar!$B$16:$C$24,2,0)</f>
        <v>1</v>
      </c>
      <c r="K840" s="21" t="s">
        <v>1257</v>
      </c>
      <c r="L840" s="2" t="s">
        <v>1244</v>
      </c>
      <c r="M840" s="21" t="s">
        <v>1254</v>
      </c>
      <c r="N840" s="48">
        <v>45546</v>
      </c>
      <c r="O840" s="21">
        <f>INDEX(Auxiliar!$D$5:$F$13,MATCH(Table1[[#This Row],[Tipologia_Testes]],Auxiliar!$B$5:$B$13,0),MATCH(Table1[[#This Row],[Complexidade]],Auxiliar!$D$4:$F$4,0))</f>
        <v>0.5</v>
      </c>
      <c r="P840" s="23" t="s">
        <v>1308</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1296</v>
      </c>
      <c r="E841" s="2" t="s">
        <v>38</v>
      </c>
      <c r="F841" s="13" t="s">
        <v>213</v>
      </c>
      <c r="G841" s="13" t="s">
        <v>236</v>
      </c>
      <c r="H841" s="58" t="str">
        <f>Table1[[#This Row],[Tabela]]&amp;Table1[[#This Row],[Campo]]</f>
        <v>modesg_inp_emss_vclsscp3_ftr_emss</v>
      </c>
      <c r="I841" s="2" t="s">
        <v>613</v>
      </c>
      <c r="J841" s="46">
        <f>VLOOKUP(Table1[[#This Row],[Status]],Auxiliar!$B$16:$C$24,2,0)</f>
        <v>1</v>
      </c>
      <c r="K841" s="21" t="s">
        <v>1249</v>
      </c>
      <c r="L841" s="2" t="s">
        <v>1244</v>
      </c>
      <c r="M841" s="21" t="s">
        <v>1254</v>
      </c>
      <c r="N841" s="48">
        <v>45546</v>
      </c>
      <c r="O841" s="21">
        <f>INDEX(Auxiliar!$D$5:$F$13,MATCH(Table1[[#This Row],[Tipologia_Testes]],Auxiliar!$B$5:$B$13,0),MATCH(Table1[[#This Row],[Complexidade]],Auxiliar!$D$4:$F$4,0))</f>
        <v>0.1</v>
      </c>
      <c r="P841" s="2" t="s">
        <v>1310</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1296</v>
      </c>
      <c r="E842" s="2" t="s">
        <v>38</v>
      </c>
      <c r="F842" s="13" t="s">
        <v>213</v>
      </c>
      <c r="G842" s="13" t="s">
        <v>236</v>
      </c>
      <c r="H842" s="58" t="str">
        <f>Table1[[#This Row],[Tabela]]&amp;Table1[[#This Row],[Campo]]</f>
        <v>modesg_inp_emss_vclsscp3_ftr_emss</v>
      </c>
      <c r="I842" s="2" t="s">
        <v>613</v>
      </c>
      <c r="J842" s="46">
        <f>VLOOKUP(Table1[[#This Row],[Status]],Auxiliar!$B$16:$C$24,2,0)</f>
        <v>1</v>
      </c>
      <c r="K842" s="21" t="s">
        <v>1257</v>
      </c>
      <c r="L842" s="2" t="s">
        <v>1244</v>
      </c>
      <c r="M842" s="21" t="s">
        <v>1254</v>
      </c>
      <c r="N842" s="48">
        <v>45546</v>
      </c>
      <c r="O842" s="21">
        <f>INDEX(Auxiliar!$D$5:$F$13,MATCH(Table1[[#This Row],[Tipologia_Testes]],Auxiliar!$B$5:$B$13,0),MATCH(Table1[[#This Row],[Complexidade]],Auxiliar!$D$4:$F$4,0))</f>
        <v>0.5</v>
      </c>
      <c r="P842" s="23" t="s">
        <v>1311</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1296</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1257</v>
      </c>
      <c r="L843" s="28"/>
      <c r="M843" s="21" t="s">
        <v>1254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1249</v>
      </c>
      <c r="L844" s="28"/>
      <c r="M844" s="21" t="s">
        <v>1254</v>
      </c>
      <c r="N844" s="48">
        <v>45537</v>
      </c>
      <c r="O844" s="21">
        <f>INDEX(Auxiliar!$D$5:$F$13,MATCH(Table1[[#This Row],[Tipologia_Testes]],Auxiliar!$B$5:$B$13,0),MATCH(Table1[[#This Row],[Complexidade]],Auxiliar!$D$4:$F$4,0))</f>
        <v>0.1</v>
      </c>
      <c r="P844" s="2" t="s">
        <v>1312</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1296</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1257</v>
      </c>
      <c r="L845" s="28"/>
      <c r="M845" s="21" t="s">
        <v>1254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1249</v>
      </c>
      <c r="L846" s="2" t="s">
        <v>1244</v>
      </c>
      <c r="M846" s="21" t="s">
        <v>1254</v>
      </c>
      <c r="N846" s="48">
        <v>45537</v>
      </c>
      <c r="O846" s="21">
        <f>INDEX(Auxiliar!$D$5:$F$13,MATCH(Table1[[#This Row],[Tipologia_Testes]],Auxiliar!$B$5:$B$13,0),MATCH(Table1[[#This Row],[Complexidade]],Auxiliar!$D$4:$F$4,0))</f>
        <v>0.1</v>
      </c>
      <c r="P846" s="2" t="s">
        <v>1313</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1296</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1257</v>
      </c>
      <c r="L847" s="2" t="s">
        <v>1244</v>
      </c>
      <c r="M847" s="21" t="s">
        <v>1254</v>
      </c>
      <c r="N847" s="48">
        <v>45537</v>
      </c>
      <c r="O847" s="21">
        <f>INDEX(Auxiliar!$D$5:$F$13,MATCH(Table1[[#This Row],[Tipologia_Testes]],Auxiliar!$B$5:$B$13,0),MATCH(Table1[[#This Row],[Complexidade]],Auxiliar!$D$4:$F$4,0))</f>
        <v>0.5</v>
      </c>
      <c r="P847" s="2" t="s">
        <v>1314</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1296</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1249</v>
      </c>
      <c r="L848" s="28"/>
      <c r="M848" s="21" t="s">
        <v>1254</v>
      </c>
      <c r="N848" s="48">
        <v>45537</v>
      </c>
      <c r="O848" s="21">
        <f>INDEX(Auxiliar!$D$5:$F$13,MATCH(Table1[[#This Row],[Tipologia_Testes]],Auxiliar!$B$5:$B$13,0),MATCH(Table1[[#This Row],[Complexidade]],Auxiliar!$D$4:$F$4,0))</f>
        <v>0.1</v>
      </c>
      <c r="P848" s="2" t="s">
        <v>1312</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1296</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1257</v>
      </c>
      <c r="L849" s="28"/>
      <c r="M849" s="21" t="s">
        <v>1254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1296</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1249</v>
      </c>
      <c r="L850" s="2" t="s">
        <v>650</v>
      </c>
      <c r="M850" s="21" t="s">
        <v>1254</v>
      </c>
      <c r="N850" s="48">
        <v>45537</v>
      </c>
      <c r="O850" s="21">
        <f>INDEX(Auxiliar!$D$5:$F$13,MATCH(Table1[[#This Row],[Tipologia_Testes]],Auxiliar!$B$5:$B$13,0),MATCH(Table1[[#This Row],[Complexidade]],Auxiliar!$D$4:$F$4,0))</f>
        <v>0.1</v>
      </c>
      <c r="P850" s="2" t="s">
        <v>1312</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1296</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1257</v>
      </c>
      <c r="L851" s="2" t="s">
        <v>650</v>
      </c>
      <c r="M851" s="21" t="s">
        <v>1254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1296</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1249</v>
      </c>
      <c r="L852" s="28"/>
      <c r="M852" s="21" t="s">
        <v>1254</v>
      </c>
      <c r="N852" s="48">
        <v>45537</v>
      </c>
      <c r="O852" s="21">
        <f>INDEX(Auxiliar!$D$5:$F$13,MATCH(Table1[[#This Row],[Tipologia_Testes]],Auxiliar!$B$5:$B$13,0),MATCH(Table1[[#This Row],[Complexidade]],Auxiliar!$D$4:$F$4,0))</f>
        <v>0.1</v>
      </c>
      <c r="P852" s="2" t="s">
        <v>1312</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1296</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1257</v>
      </c>
      <c r="L853" s="28"/>
      <c r="M853" s="21" t="s">
        <v>1254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1300</v>
      </c>
      <c r="E854" s="2" t="s">
        <v>38</v>
      </c>
      <c r="F854" s="13" t="s">
        <v>215</v>
      </c>
      <c r="G854" s="13" t="s">
        <v>208</v>
      </c>
      <c r="H854" s="58" t="str">
        <f>Table1[[#This Row],[Tabela]]&amp;Table1[[#This Row],[Campo]]</f>
        <v>modesg_inp_empr_excl_parisref_date</v>
      </c>
      <c r="I854" s="3" t="s">
        <v>613</v>
      </c>
      <c r="J854" s="54">
        <f>VLOOKUP(Table1[[#This Row],[Status]],Auxiliar!$B$16:$C$24,2,0)</f>
        <v>1</v>
      </c>
      <c r="K854" s="21" t="s">
        <v>1257</v>
      </c>
      <c r="L854" s="2" t="s">
        <v>1252</v>
      </c>
      <c r="M854" s="21" t="s">
        <v>1254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1315</v>
      </c>
    </row>
    <row r="855" spans="2:24" ht="17.7" hidden="1" customHeight="1">
      <c r="B855" s="13" t="s">
        <v>26</v>
      </c>
      <c r="C855" s="13" t="s">
        <v>181</v>
      </c>
      <c r="D855" s="13" t="s">
        <v>1300</v>
      </c>
      <c r="E855" s="2" t="s">
        <v>38</v>
      </c>
      <c r="F855" s="13" t="s">
        <v>215</v>
      </c>
      <c r="G855" s="13" t="s">
        <v>239</v>
      </c>
      <c r="H855" s="58" t="str">
        <f>Table1[[#This Row],[Tabela]]&amp;Table1[[#This Row],[Campo]]</f>
        <v>modesg_inp_empr_excl_parisisin</v>
      </c>
      <c r="I855" s="3" t="s">
        <v>613</v>
      </c>
      <c r="J855" s="54">
        <f>VLOOKUP(Table1[[#This Row],[Status]],Auxiliar!$B$16:$C$24,2,0)</f>
        <v>1</v>
      </c>
      <c r="K855" s="21" t="s">
        <v>1249</v>
      </c>
      <c r="L855" s="2" t="s">
        <v>1252</v>
      </c>
      <c r="M855" s="21" t="s">
        <v>1254</v>
      </c>
      <c r="N855" s="48">
        <v>45485</v>
      </c>
      <c r="O855" s="21">
        <f>INDEX(Auxiliar!$D$5:$F$13,MATCH(Table1[[#This Row],[Tipologia_Testes]],Auxiliar!$B$5:$B$13,0),MATCH(Table1[[#This Row],[Complexidade]],Auxiliar!$D$4:$F$4,0))</f>
        <v>0.1</v>
      </c>
      <c r="P855" s="2" t="s">
        <v>1316</v>
      </c>
      <c r="Q855" s="2"/>
      <c r="R855" s="152">
        <v>45261</v>
      </c>
      <c r="S855" s="152"/>
      <c r="T855" s="152"/>
      <c r="U855" s="152">
        <v>45603</v>
      </c>
      <c r="V855" s="152"/>
      <c r="W855" s="2">
        <f>VLOOKUP(Table1[[#This Row],[Status]],Auxiliar!$B$16:$D$24,3,0)*Table1[[#This Row],[Estimação (horas)]]</f>
        <v>0.1</v>
      </c>
      <c r="X855" s="2" t="s">
        <v>1315</v>
      </c>
    </row>
    <row r="856" spans="2:24" ht="17.7" hidden="1" customHeight="1">
      <c r="B856" s="13" t="s">
        <v>26</v>
      </c>
      <c r="C856" s="13" t="s">
        <v>181</v>
      </c>
      <c r="D856" s="13" t="s">
        <v>1300</v>
      </c>
      <c r="E856" s="2" t="s">
        <v>38</v>
      </c>
      <c r="F856" s="13" t="s">
        <v>215</v>
      </c>
      <c r="G856" s="13" t="s">
        <v>239</v>
      </c>
      <c r="H856" s="58" t="str">
        <f>Table1[[#This Row],[Tabela]]&amp;Table1[[#This Row],[Campo]]</f>
        <v>modesg_inp_empr_excl_parisisin</v>
      </c>
      <c r="I856" s="3" t="s">
        <v>613</v>
      </c>
      <c r="J856" s="54">
        <f>VLOOKUP(Table1[[#This Row],[Status]],Auxiliar!$B$16:$C$24,2,0)</f>
        <v>1</v>
      </c>
      <c r="K856" s="21" t="s">
        <v>1257</v>
      </c>
      <c r="L856" s="2" t="s">
        <v>1244</v>
      </c>
      <c r="M856" s="21" t="s">
        <v>1254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1315</v>
      </c>
    </row>
    <row r="857" spans="2:24" ht="17.7" hidden="1" customHeight="1">
      <c r="B857" s="13" t="s">
        <v>26</v>
      </c>
      <c r="C857" s="13" t="s">
        <v>181</v>
      </c>
      <c r="D857" s="13" t="s">
        <v>1300</v>
      </c>
      <c r="E857" s="2" t="s">
        <v>38</v>
      </c>
      <c r="F857" s="13" t="s">
        <v>215</v>
      </c>
      <c r="G857" s="13" t="s">
        <v>240</v>
      </c>
      <c r="H857" s="58" t="str">
        <f>Table1[[#This Row],[Tabela]]&amp;Table1[[#This Row],[Campo]]</f>
        <v>modesg_inp_empr_excl_parisclei</v>
      </c>
      <c r="I857" s="3" t="s">
        <v>613</v>
      </c>
      <c r="J857" s="54">
        <f>VLOOKUP(Table1[[#This Row],[Status]],Auxiliar!$B$16:$C$24,2,0)</f>
        <v>1</v>
      </c>
      <c r="K857" s="21" t="s">
        <v>1249</v>
      </c>
      <c r="L857" s="2" t="s">
        <v>1252</v>
      </c>
      <c r="M857" s="21" t="s">
        <v>1254</v>
      </c>
      <c r="N857" s="48">
        <v>45485</v>
      </c>
      <c r="O857" s="21">
        <f>INDEX(Auxiliar!$D$5:$F$13,MATCH(Table1[[#This Row],[Tipologia_Testes]],Auxiliar!$B$5:$B$13,0),MATCH(Table1[[#This Row],[Complexidade]],Auxiliar!$D$4:$F$4,0))</f>
        <v>0.1</v>
      </c>
      <c r="P857" s="2" t="s">
        <v>1316</v>
      </c>
      <c r="Q857" s="2"/>
      <c r="R857" s="152">
        <v>45261</v>
      </c>
      <c r="S857" s="152"/>
      <c r="T857" s="152"/>
      <c r="U857" s="152">
        <v>45603</v>
      </c>
      <c r="V857" s="152"/>
      <c r="W857" s="2">
        <f>VLOOKUP(Table1[[#This Row],[Status]],Auxiliar!$B$16:$D$24,3,0)*Table1[[#This Row],[Estimação (horas)]]</f>
        <v>0.1</v>
      </c>
      <c r="X857" s="2" t="s">
        <v>1315</v>
      </c>
    </row>
    <row r="858" spans="2:24" ht="17.7" hidden="1" customHeight="1">
      <c r="B858" s="13" t="s">
        <v>26</v>
      </c>
      <c r="C858" s="13" t="s">
        <v>181</v>
      </c>
      <c r="D858" s="13" t="s">
        <v>1300</v>
      </c>
      <c r="E858" s="2" t="s">
        <v>38</v>
      </c>
      <c r="F858" s="13" t="s">
        <v>215</v>
      </c>
      <c r="G858" s="13" t="s">
        <v>240</v>
      </c>
      <c r="H858" s="58" t="str">
        <f>Table1[[#This Row],[Tabela]]&amp;Table1[[#This Row],[Campo]]</f>
        <v>modesg_inp_empr_excl_parisclei</v>
      </c>
      <c r="I858" s="3" t="s">
        <v>613</v>
      </c>
      <c r="J858" s="54">
        <f>VLOOKUP(Table1[[#This Row],[Status]],Auxiliar!$B$16:$C$24,2,0)</f>
        <v>1</v>
      </c>
      <c r="K858" s="21" t="s">
        <v>1257</v>
      </c>
      <c r="L858" s="2" t="s">
        <v>1252</v>
      </c>
      <c r="M858" s="21" t="s">
        <v>1254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1315</v>
      </c>
    </row>
    <row r="859" spans="2:24" ht="17.7" hidden="1" customHeight="1">
      <c r="B859" s="13" t="s">
        <v>26</v>
      </c>
      <c r="C859" s="13" t="s">
        <v>181</v>
      </c>
      <c r="D859" s="13" t="s">
        <v>1300</v>
      </c>
      <c r="E859" s="2" t="s">
        <v>38</v>
      </c>
      <c r="F859" s="13" t="s">
        <v>215</v>
      </c>
      <c r="G859" s="13" t="s">
        <v>241</v>
      </c>
      <c r="H859" s="58" t="str">
        <f>Table1[[#This Row],[Tabela]]&amp;Table1[[#This Row],[Campo]]</f>
        <v>modesg_inp_empr_excl_parisccli_kgl</v>
      </c>
      <c r="I859" s="3" t="s">
        <v>613</v>
      </c>
      <c r="J859" s="54">
        <f>VLOOKUP(Table1[[#This Row],[Status]],Auxiliar!$B$16:$C$24,2,0)</f>
        <v>1</v>
      </c>
      <c r="K859" s="21" t="s">
        <v>1249</v>
      </c>
      <c r="L859" s="2" t="s">
        <v>1252</v>
      </c>
      <c r="M859" s="21" t="s">
        <v>1254</v>
      </c>
      <c r="N859" s="48">
        <v>45485</v>
      </c>
      <c r="O859" s="21">
        <f>INDEX(Auxiliar!$D$5:$F$13,MATCH(Table1[[#This Row],[Tipologia_Testes]],Auxiliar!$B$5:$B$13,0),MATCH(Table1[[#This Row],[Complexidade]],Auxiliar!$D$4:$F$4,0))</f>
        <v>0.1</v>
      </c>
      <c r="P859" s="2" t="s">
        <v>1316</v>
      </c>
      <c r="Q859" s="2"/>
      <c r="R859" s="152">
        <v>45261</v>
      </c>
      <c r="S859" s="152"/>
      <c r="T859" s="152"/>
      <c r="U859" s="152">
        <v>45603</v>
      </c>
      <c r="V859" s="152"/>
      <c r="W859" s="2">
        <f>VLOOKUP(Table1[[#This Row],[Status]],Auxiliar!$B$16:$D$24,3,0)*Table1[[#This Row],[Estimação (horas)]]</f>
        <v>0.1</v>
      </c>
      <c r="X859" s="2" t="s">
        <v>1315</v>
      </c>
    </row>
    <row r="860" spans="2:24" ht="17.7" hidden="1" customHeight="1">
      <c r="B860" s="13" t="s">
        <v>26</v>
      </c>
      <c r="C860" s="13" t="s">
        <v>181</v>
      </c>
      <c r="D860" s="13" t="s">
        <v>1300</v>
      </c>
      <c r="E860" s="2" t="s">
        <v>38</v>
      </c>
      <c r="F860" s="13" t="s">
        <v>215</v>
      </c>
      <c r="G860" s="13" t="s">
        <v>241</v>
      </c>
      <c r="H860" s="58" t="str">
        <f>Table1[[#This Row],[Tabela]]&amp;Table1[[#This Row],[Campo]]</f>
        <v>modesg_inp_empr_excl_parisccli_kgl</v>
      </c>
      <c r="I860" s="3" t="s">
        <v>613</v>
      </c>
      <c r="J860" s="54">
        <f>VLOOKUP(Table1[[#This Row],[Status]],Auxiliar!$B$16:$C$24,2,0)</f>
        <v>1</v>
      </c>
      <c r="K860" s="21" t="s">
        <v>1257</v>
      </c>
      <c r="L860" s="2" t="s">
        <v>1252</v>
      </c>
      <c r="M860" s="21" t="s">
        <v>1254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1315</v>
      </c>
    </row>
    <row r="861" spans="2:24" ht="17.7" hidden="1" customHeight="1">
      <c r="B861" s="13" t="s">
        <v>26</v>
      </c>
      <c r="C861" s="13" t="s">
        <v>181</v>
      </c>
      <c r="D861" s="13" t="s">
        <v>1300</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243</v>
      </c>
      <c r="H862" s="58" t="str">
        <f>Table1[[#This Row],[Tabela]]&amp;Table1[[#This Row],[Campo]]</f>
        <v>modesg_inp_empr_excl_parisflg_scib</v>
      </c>
      <c r="I862" s="3" t="s">
        <v>613</v>
      </c>
      <c r="J862" s="54">
        <f>VLOOKUP(Table1[[#This Row],[Status]],Auxiliar!$B$16:$C$24,2,0)</f>
        <v>1</v>
      </c>
      <c r="K862" s="21" t="s">
        <v>1257</v>
      </c>
      <c r="L862" s="2" t="s">
        <v>1252</v>
      </c>
      <c r="M862" s="21" t="s">
        <v>1254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1315</v>
      </c>
    </row>
    <row r="863" spans="2:24" ht="17.7" hidden="1" customHeight="1">
      <c r="B863" s="13" t="s">
        <v>26</v>
      </c>
      <c r="C863" s="13" t="s">
        <v>181</v>
      </c>
      <c r="D863" s="13" t="s">
        <v>1300</v>
      </c>
      <c r="E863" s="2" t="s">
        <v>38</v>
      </c>
      <c r="F863" s="13" t="s">
        <v>215</v>
      </c>
      <c r="G863" s="13" t="s">
        <v>222</v>
      </c>
      <c r="H863" s="58" t="str">
        <f>Table1[[#This Row],[Tabela]]&amp;Table1[[#This Row],[Campo]]</f>
        <v>modesg_inp_empr_excl_parisnome_pais</v>
      </c>
      <c r="I863" s="3" t="s">
        <v>613</v>
      </c>
      <c r="J863" s="54">
        <f>VLOOKUP(Table1[[#This Row],[Status]],Auxiliar!$B$16:$C$24,2,0)</f>
        <v>1</v>
      </c>
      <c r="K863" s="21" t="s">
        <v>1257</v>
      </c>
      <c r="L863" s="28"/>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1303</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1257</v>
      </c>
      <c r="L864" s="28"/>
      <c r="M864" s="21" t="s">
        <v>1254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1303</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1249</v>
      </c>
      <c r="L865" s="28"/>
      <c r="M865" s="21" t="s">
        <v>1254</v>
      </c>
      <c r="N865" s="48">
        <v>45540</v>
      </c>
      <c r="O865" s="21">
        <f>INDEX(Auxiliar!$D$5:$F$13,MATCH(Table1[[#This Row],[Tipologia_Testes]],Auxiliar!$B$5:$B$13,0),MATCH(Table1[[#This Row],[Complexidade]],Auxiliar!$D$4:$F$4,0))</f>
        <v>0.1</v>
      </c>
      <c r="P865" s="2" t="s">
        <v>1317</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1303</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1257</v>
      </c>
      <c r="L866" s="28"/>
      <c r="M866" s="21" t="s">
        <v>1254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1303</v>
      </c>
      <c r="E867" s="2" t="s">
        <v>38</v>
      </c>
      <c r="F867" s="13" t="s">
        <v>216</v>
      </c>
      <c r="G867" s="13" t="s">
        <v>240</v>
      </c>
      <c r="H867" s="58" t="str">
        <f>Table1[[#This Row],[Tabela]]&amp;Table1[[#This Row],[Campo]]</f>
        <v>modesg_inp_nfrd_alinhamento_taxclei</v>
      </c>
      <c r="I867" s="2" t="s">
        <v>613</v>
      </c>
      <c r="J867" s="46">
        <f>VLOOKUP(Table1[[#This Row],[Status]],Auxiliar!$B$16:$C$24,2,0)</f>
        <v>1</v>
      </c>
      <c r="K867" s="21" t="s">
        <v>1249</v>
      </c>
      <c r="L867" s="28"/>
      <c r="M867" s="21" t="s">
        <v>1254</v>
      </c>
      <c r="N867" s="48">
        <v>45540</v>
      </c>
      <c r="O867" s="21">
        <f>INDEX(Auxiliar!$D$5:$F$13,MATCH(Table1[[#This Row],[Tipologia_Testes]],Auxiliar!$B$5:$B$13,0),MATCH(Table1[[#This Row],[Complexidade]],Auxiliar!$D$4:$F$4,0))</f>
        <v>0.1</v>
      </c>
      <c r="P867" s="2" t="s">
        <v>1317</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1303</v>
      </c>
      <c r="E868" s="2" t="s">
        <v>38</v>
      </c>
      <c r="F868" s="13" t="s">
        <v>216</v>
      </c>
      <c r="G868" s="13" t="s">
        <v>240</v>
      </c>
      <c r="H868" s="58" t="str">
        <f>Table1[[#This Row],[Tabela]]&amp;Table1[[#This Row],[Campo]]</f>
        <v>modesg_inp_nfrd_alinhamento_taxclei</v>
      </c>
      <c r="I868" s="2" t="s">
        <v>613</v>
      </c>
      <c r="J868" s="46">
        <f>VLOOKUP(Table1[[#This Row],[Status]],Auxiliar!$B$16:$C$24,2,0)</f>
        <v>1</v>
      </c>
      <c r="K868" s="21" t="s">
        <v>1257</v>
      </c>
      <c r="L868" s="28"/>
      <c r="M868" s="21" t="s">
        <v>1254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1303</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1257</v>
      </c>
      <c r="L870" s="28"/>
      <c r="M870" s="21" t="s">
        <v>1254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1303</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1249</v>
      </c>
      <c r="L873" s="28"/>
      <c r="M873" s="21" t="s">
        <v>1254</v>
      </c>
      <c r="N873" s="48">
        <v>45540</v>
      </c>
      <c r="O873" s="21">
        <f>INDEX(Auxiliar!$D$5:$F$13,MATCH(Table1[[#This Row],[Tipologia_Testes]],Auxiliar!$B$5:$B$13,0),MATCH(Table1[[#This Row],[Complexidade]],Auxiliar!$D$4:$F$4,0))</f>
        <v>0.1</v>
      </c>
      <c r="P873" s="2" t="s">
        <v>1318</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1303</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1249</v>
      </c>
      <c r="L875" s="28"/>
      <c r="M875" s="21" t="s">
        <v>1254</v>
      </c>
      <c r="N875" s="48">
        <v>45540</v>
      </c>
      <c r="O875" s="21">
        <f>INDEX(Auxiliar!$D$5:$F$13,MATCH(Table1[[#This Row],[Tipologia_Testes]],Auxiliar!$B$5:$B$13,0),MATCH(Table1[[#This Row],[Complexidade]],Auxiliar!$D$4:$F$4,0))</f>
        <v>0.1</v>
      </c>
      <c r="P875" s="2" t="s">
        <v>1318</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1303</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1257</v>
      </c>
      <c r="L876" s="28"/>
      <c r="M876" s="21" t="s">
        <v>1254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1303</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1249</v>
      </c>
      <c r="L877" s="28"/>
      <c r="M877" s="21" t="s">
        <v>1254</v>
      </c>
      <c r="N877" s="48">
        <v>45540</v>
      </c>
      <c r="O877" s="21">
        <f>INDEX(Auxiliar!$D$5:$F$13,MATCH(Table1[[#This Row],[Tipologia_Testes]],Auxiliar!$B$5:$B$13,0),MATCH(Table1[[#This Row],[Complexidade]],Auxiliar!$D$4:$F$4,0))</f>
        <v>0.1</v>
      </c>
      <c r="P877" s="2" t="s">
        <v>1318</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1303</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1257</v>
      </c>
      <c r="L878" s="28"/>
      <c r="M878" s="21" t="s">
        <v>1254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1303</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1249</v>
      </c>
      <c r="L879" s="28"/>
      <c r="M879" s="21" t="s">
        <v>1254</v>
      </c>
      <c r="N879" s="48">
        <v>45540</v>
      </c>
      <c r="O879" s="21">
        <f>INDEX(Auxiliar!$D$5:$F$13,MATCH(Table1[[#This Row],[Tipologia_Testes]],Auxiliar!$B$5:$B$13,0),MATCH(Table1[[#This Row],[Complexidade]],Auxiliar!$D$4:$F$4,0))</f>
        <v>0.1</v>
      </c>
      <c r="P879" s="2" t="s">
        <v>1318</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1303</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1257</v>
      </c>
      <c r="L880" s="28"/>
      <c r="M880" s="21" t="s">
        <v>1254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1303</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1249</v>
      </c>
      <c r="L881" s="28"/>
      <c r="M881" s="21" t="s">
        <v>1254</v>
      </c>
      <c r="N881" s="48">
        <v>45540</v>
      </c>
      <c r="O881" s="21">
        <f>INDEX(Auxiliar!$D$5:$F$13,MATCH(Table1[[#This Row],[Tipologia_Testes]],Auxiliar!$B$5:$B$13,0),MATCH(Table1[[#This Row],[Complexidade]],Auxiliar!$D$4:$F$4,0))</f>
        <v>0.1</v>
      </c>
      <c r="P881" s="2" t="s">
        <v>1318</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1303</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1257</v>
      </c>
      <c r="L882" s="28"/>
      <c r="M882" s="21" t="s">
        <v>1254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1303</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1249</v>
      </c>
      <c r="L883" s="28"/>
      <c r="M883" s="21" t="s">
        <v>1254</v>
      </c>
      <c r="N883" s="48">
        <v>45540</v>
      </c>
      <c r="O883" s="21">
        <f>INDEX(Auxiliar!$D$5:$F$13,MATCH(Table1[[#This Row],[Tipologia_Testes]],Auxiliar!$B$5:$B$13,0),MATCH(Table1[[#This Row],[Complexidade]],Auxiliar!$D$4:$F$4,0))</f>
        <v>0.1</v>
      </c>
      <c r="P883" s="2" t="s">
        <v>1318</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1303</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1257</v>
      </c>
      <c r="L884" s="28"/>
      <c r="M884" s="21" t="s">
        <v>1254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1303</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1249</v>
      </c>
      <c r="L885" s="28"/>
      <c r="M885" s="21" t="s">
        <v>1254</v>
      </c>
      <c r="N885" s="48">
        <v>45540</v>
      </c>
      <c r="O885" s="21">
        <f>INDEX(Auxiliar!$D$5:$F$13,MATCH(Table1[[#This Row],[Tipologia_Testes]],Auxiliar!$B$5:$B$13,0),MATCH(Table1[[#This Row],[Complexidade]],Auxiliar!$D$4:$F$4,0))</f>
        <v>0.1</v>
      </c>
      <c r="P885" s="2" t="s">
        <v>1318</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1303</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1257</v>
      </c>
      <c r="L886" s="28"/>
      <c r="M886" s="21" t="s">
        <v>1254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1303</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1249</v>
      </c>
      <c r="L887" s="28"/>
      <c r="M887" s="21" t="s">
        <v>1254</v>
      </c>
      <c r="N887" s="48">
        <v>45540</v>
      </c>
      <c r="O887" s="21">
        <f>INDEX(Auxiliar!$D$5:$F$13,MATCH(Table1[[#This Row],[Tipologia_Testes]],Auxiliar!$B$5:$B$13,0),MATCH(Table1[[#This Row],[Complexidade]],Auxiliar!$D$4:$F$4,0))</f>
        <v>0.1</v>
      </c>
      <c r="P887" s="2" t="s">
        <v>1318</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1303</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1257</v>
      </c>
      <c r="L888" s="28"/>
      <c r="M888" s="21" t="s">
        <v>1254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1303</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1249</v>
      </c>
      <c r="L889" s="28"/>
      <c r="M889" s="21" t="s">
        <v>1254</v>
      </c>
      <c r="N889" s="48">
        <v>45540</v>
      </c>
      <c r="O889" s="21">
        <f>INDEX(Auxiliar!$D$5:$F$13,MATCH(Table1[[#This Row],[Tipologia_Testes]],Auxiliar!$B$5:$B$13,0),MATCH(Table1[[#This Row],[Complexidade]],Auxiliar!$D$4:$F$4,0))</f>
        <v>0.1</v>
      </c>
      <c r="P889" s="2" t="s">
        <v>1318</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1303</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1257</v>
      </c>
      <c r="L890" s="28"/>
      <c r="M890" s="21" t="s">
        <v>1254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1303</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1249</v>
      </c>
      <c r="L891" s="28"/>
      <c r="M891" s="21" t="s">
        <v>1254</v>
      </c>
      <c r="N891" s="48">
        <v>45540</v>
      </c>
      <c r="O891" s="21">
        <f>INDEX(Auxiliar!$D$5:$F$13,MATCH(Table1[[#This Row],[Tipologia_Testes]],Auxiliar!$B$5:$B$13,0),MATCH(Table1[[#This Row],[Complexidade]],Auxiliar!$D$4:$F$4,0))</f>
        <v>0.1</v>
      </c>
      <c r="P891" s="2" t="s">
        <v>1318</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1303</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1257</v>
      </c>
      <c r="L892" s="28"/>
      <c r="M892" s="21" t="s">
        <v>1254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1303</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1249</v>
      </c>
      <c r="L893" s="28"/>
      <c r="M893" s="21" t="s">
        <v>1254</v>
      </c>
      <c r="N893" s="48">
        <v>45540</v>
      </c>
      <c r="O893" s="21">
        <f>INDEX(Auxiliar!$D$5:$F$13,MATCH(Table1[[#This Row],[Tipologia_Testes]],Auxiliar!$B$5:$B$13,0),MATCH(Table1[[#This Row],[Complexidade]],Auxiliar!$D$4:$F$4,0))</f>
        <v>0.1</v>
      </c>
      <c r="P893" s="2" t="s">
        <v>1318</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1303</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1257</v>
      </c>
      <c r="L894" s="28"/>
      <c r="M894" s="21" t="s">
        <v>1254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1303</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1249</v>
      </c>
      <c r="L895" s="28"/>
      <c r="M895" s="21" t="s">
        <v>1254</v>
      </c>
      <c r="N895" s="48">
        <v>45540</v>
      </c>
      <c r="O895" s="21">
        <f>INDEX(Auxiliar!$D$5:$F$13,MATCH(Table1[[#This Row],[Tipologia_Testes]],Auxiliar!$B$5:$B$13,0),MATCH(Table1[[#This Row],[Complexidade]],Auxiliar!$D$4:$F$4,0))</f>
        <v>0.1</v>
      </c>
      <c r="P895" s="2" t="s">
        <v>1318</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1303</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1257</v>
      </c>
      <c r="L896" s="28"/>
      <c r="M896" s="21" t="s">
        <v>1254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1303</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1249</v>
      </c>
      <c r="L897" s="28"/>
      <c r="M897" s="21" t="s">
        <v>1254</v>
      </c>
      <c r="N897" s="48">
        <v>45540</v>
      </c>
      <c r="O897" s="21">
        <f>INDEX(Auxiliar!$D$5:$F$13,MATCH(Table1[[#This Row],[Tipologia_Testes]],Auxiliar!$B$5:$B$13,0),MATCH(Table1[[#This Row],[Complexidade]],Auxiliar!$D$4:$F$4,0))</f>
        <v>0.1</v>
      </c>
      <c r="P897" s="2" t="s">
        <v>1318</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1303</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1257</v>
      </c>
      <c r="L898" s="28"/>
      <c r="M898" s="21" t="s">
        <v>1254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1303</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1249</v>
      </c>
      <c r="L899" s="28"/>
      <c r="M899" s="21" t="s">
        <v>1254</v>
      </c>
      <c r="N899" s="48">
        <v>45540</v>
      </c>
      <c r="O899" s="21">
        <f>INDEX(Auxiliar!$D$5:$F$13,MATCH(Table1[[#This Row],[Tipologia_Testes]],Auxiliar!$B$5:$B$13,0),MATCH(Table1[[#This Row],[Complexidade]],Auxiliar!$D$4:$F$4,0))</f>
        <v>0.1</v>
      </c>
      <c r="P899" s="2" t="s">
        <v>1319</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1303</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1257</v>
      </c>
      <c r="L900" s="28"/>
      <c r="M900" s="21" t="s">
        <v>1254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1303</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1249</v>
      </c>
      <c r="L901" s="2" t="s">
        <v>650</v>
      </c>
      <c r="M901" s="21" t="s">
        <v>1254</v>
      </c>
      <c r="N901" s="48">
        <v>45540</v>
      </c>
      <c r="O901" s="21">
        <f>INDEX(Auxiliar!$D$5:$F$13,MATCH(Table1[[#This Row],[Tipologia_Testes]],Auxiliar!$B$5:$B$13,0),MATCH(Table1[[#This Row],[Complexidade]],Auxiliar!$D$4:$F$4,0))</f>
        <v>0.1</v>
      </c>
      <c r="P901" s="2" t="s">
        <v>1320</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1303</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1257</v>
      </c>
      <c r="L902" s="2" t="s">
        <v>650</v>
      </c>
      <c r="M902" s="21" t="s">
        <v>1254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1303</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1249</v>
      </c>
      <c r="L903" s="2" t="s">
        <v>650</v>
      </c>
      <c r="M903" s="21" t="s">
        <v>1254</v>
      </c>
      <c r="N903" s="48">
        <v>45540</v>
      </c>
      <c r="O903" s="21">
        <f>INDEX(Auxiliar!$D$5:$F$13,MATCH(Table1[[#This Row],[Tipologia_Testes]],Auxiliar!$B$5:$B$13,0),MATCH(Table1[[#This Row],[Complexidade]],Auxiliar!$D$4:$F$4,0))</f>
        <v>0.1</v>
      </c>
      <c r="P903" s="2" t="s">
        <v>1320</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1303</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1257</v>
      </c>
      <c r="L904" s="2" t="s">
        <v>650</v>
      </c>
      <c r="M904" s="21" t="s">
        <v>1254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1303</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1249</v>
      </c>
      <c r="L905" s="2" t="s">
        <v>650</v>
      </c>
      <c r="M905" s="21" t="s">
        <v>1254</v>
      </c>
      <c r="N905" s="48">
        <v>45540</v>
      </c>
      <c r="O905" s="21">
        <f>INDEX(Auxiliar!$D$5:$F$13,MATCH(Table1[[#This Row],[Tipologia_Testes]],Auxiliar!$B$5:$B$13,0),MATCH(Table1[[#This Row],[Complexidade]],Auxiliar!$D$4:$F$4,0))</f>
        <v>0.1</v>
      </c>
      <c r="P905" s="2" t="s">
        <v>1320</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1303</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1257</v>
      </c>
      <c r="L906" s="2" t="s">
        <v>650</v>
      </c>
      <c r="M906" s="21" t="s">
        <v>1254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1303</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1249</v>
      </c>
      <c r="L907" s="2" t="s">
        <v>650</v>
      </c>
      <c r="M907" s="21" t="s">
        <v>1254</v>
      </c>
      <c r="N907" s="48">
        <v>45540</v>
      </c>
      <c r="O907" s="21">
        <f>INDEX(Auxiliar!$D$5:$F$13,MATCH(Table1[[#This Row],[Tipologia_Testes]],Auxiliar!$B$5:$B$13,0),MATCH(Table1[[#This Row],[Complexidade]],Auxiliar!$D$4:$F$4,0))</f>
        <v>0.1</v>
      </c>
      <c r="P907" s="2" t="s">
        <v>1320</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1303</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1257</v>
      </c>
      <c r="L908" s="2" t="s">
        <v>650</v>
      </c>
      <c r="M908" s="21" t="s">
        <v>1254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1303</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1249</v>
      </c>
      <c r="L909" s="2" t="s">
        <v>650</v>
      </c>
      <c r="M909" s="21" t="s">
        <v>1254</v>
      </c>
      <c r="N909" s="48">
        <v>45540</v>
      </c>
      <c r="O909" s="21">
        <f>INDEX(Auxiliar!$D$5:$F$13,MATCH(Table1[[#This Row],[Tipologia_Testes]],Auxiliar!$B$5:$B$13,0),MATCH(Table1[[#This Row],[Complexidade]],Auxiliar!$D$4:$F$4,0))</f>
        <v>0.1</v>
      </c>
      <c r="P909" s="2" t="s">
        <v>1320</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1303</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1257</v>
      </c>
      <c r="L910" s="2" t="s">
        <v>650</v>
      </c>
      <c r="M910" s="21" t="s">
        <v>1254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1303</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1249</v>
      </c>
      <c r="L911" s="2" t="s">
        <v>650</v>
      </c>
      <c r="M911" s="21" t="s">
        <v>1254</v>
      </c>
      <c r="N911" s="48">
        <v>45540</v>
      </c>
      <c r="O911" s="21">
        <f>INDEX(Auxiliar!$D$5:$F$13,MATCH(Table1[[#This Row],[Tipologia_Testes]],Auxiliar!$B$5:$B$13,0),MATCH(Table1[[#This Row],[Complexidade]],Auxiliar!$D$4:$F$4,0))</f>
        <v>0.1</v>
      </c>
      <c r="P911" s="2" t="s">
        <v>1320</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1303</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1257</v>
      </c>
      <c r="L912" s="2" t="s">
        <v>650</v>
      </c>
      <c r="M912" s="21" t="s">
        <v>1254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1303</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1249</v>
      </c>
      <c r="L913" s="2" t="s">
        <v>650</v>
      </c>
      <c r="M913" s="21" t="s">
        <v>1254</v>
      </c>
      <c r="N913" s="48">
        <v>45540</v>
      </c>
      <c r="O913" s="21">
        <f>INDEX(Auxiliar!$D$5:$F$13,MATCH(Table1[[#This Row],[Tipologia_Testes]],Auxiliar!$B$5:$B$13,0),MATCH(Table1[[#This Row],[Complexidade]],Auxiliar!$D$4:$F$4,0))</f>
        <v>0.1</v>
      </c>
      <c r="P913" s="2" t="s">
        <v>1320</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1303</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1257</v>
      </c>
      <c r="L914" s="2" t="s">
        <v>650</v>
      </c>
      <c r="M914" s="21" t="s">
        <v>1254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1303</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1249</v>
      </c>
      <c r="L915" s="2" t="s">
        <v>650</v>
      </c>
      <c r="M915" s="21" t="s">
        <v>1254</v>
      </c>
      <c r="N915" s="48">
        <v>45540</v>
      </c>
      <c r="O915" s="21">
        <f>INDEX(Auxiliar!$D$5:$F$13,MATCH(Table1[[#This Row],[Tipologia_Testes]],Auxiliar!$B$5:$B$13,0),MATCH(Table1[[#This Row],[Complexidade]],Auxiliar!$D$4:$F$4,0))</f>
        <v>0.1</v>
      </c>
      <c r="P915" s="2" t="s">
        <v>1320</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1303</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1257</v>
      </c>
      <c r="L916" s="2" t="s">
        <v>650</v>
      </c>
      <c r="M916" s="21" t="s">
        <v>1254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1303</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1249</v>
      </c>
      <c r="L917" s="2" t="s">
        <v>650</v>
      </c>
      <c r="M917" s="21" t="s">
        <v>1254</v>
      </c>
      <c r="N917" s="48">
        <v>45540</v>
      </c>
      <c r="O917" s="21">
        <f>INDEX(Auxiliar!$D$5:$F$13,MATCH(Table1[[#This Row],[Tipologia_Testes]],Auxiliar!$B$5:$B$13,0),MATCH(Table1[[#This Row],[Complexidade]],Auxiliar!$D$4:$F$4,0))</f>
        <v>0.1</v>
      </c>
      <c r="P917" s="2" t="s">
        <v>1320</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1303</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1257</v>
      </c>
      <c r="L918" s="2" t="s">
        <v>650</v>
      </c>
      <c r="M918" s="21" t="s">
        <v>1254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1303</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1249</v>
      </c>
      <c r="L919" s="2" t="s">
        <v>650</v>
      </c>
      <c r="M919" s="21" t="s">
        <v>1254</v>
      </c>
      <c r="N919" s="48">
        <v>45540</v>
      </c>
      <c r="O919" s="21">
        <f>INDEX(Auxiliar!$D$5:$F$13,MATCH(Table1[[#This Row],[Tipologia_Testes]],Auxiliar!$B$5:$B$13,0),MATCH(Table1[[#This Row],[Complexidade]],Auxiliar!$D$4:$F$4,0))</f>
        <v>0.1</v>
      </c>
      <c r="P919" s="2" t="s">
        <v>1320</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1303</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1257</v>
      </c>
      <c r="L920" s="2" t="s">
        <v>650</v>
      </c>
      <c r="M920" s="21" t="s">
        <v>1254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1303</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1249</v>
      </c>
      <c r="L921" s="2" t="s">
        <v>650</v>
      </c>
      <c r="M921" s="21" t="s">
        <v>1254</v>
      </c>
      <c r="N921" s="48">
        <v>45540</v>
      </c>
      <c r="O921" s="21">
        <f>INDEX(Auxiliar!$D$5:$F$13,MATCH(Table1[[#This Row],[Tipologia_Testes]],Auxiliar!$B$5:$B$13,0),MATCH(Table1[[#This Row],[Complexidade]],Auxiliar!$D$4:$F$4,0))</f>
        <v>0.1</v>
      </c>
      <c r="P921" s="2" t="s">
        <v>1320</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1303</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1257</v>
      </c>
      <c r="L922" s="2" t="s">
        <v>650</v>
      </c>
      <c r="M922" s="21" t="s">
        <v>1254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1303</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1249</v>
      </c>
      <c r="L923" s="2" t="s">
        <v>650</v>
      </c>
      <c r="M923" s="21" t="s">
        <v>1254</v>
      </c>
      <c r="N923" s="48">
        <v>45540</v>
      </c>
      <c r="O923" s="21">
        <f>INDEX(Auxiliar!$D$5:$F$13,MATCH(Table1[[#This Row],[Tipologia_Testes]],Auxiliar!$B$5:$B$13,0),MATCH(Table1[[#This Row],[Complexidade]],Auxiliar!$D$4:$F$4,0))</f>
        <v>0.1</v>
      </c>
      <c r="P923" s="2" t="s">
        <v>1320</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1303</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1257</v>
      </c>
      <c r="L924" s="2" t="s">
        <v>650</v>
      </c>
      <c r="M924" s="21" t="s">
        <v>1254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1303</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1249</v>
      </c>
      <c r="L925" s="2" t="s">
        <v>650</v>
      </c>
      <c r="M925" s="21" t="s">
        <v>1254</v>
      </c>
      <c r="N925" s="48">
        <v>45540</v>
      </c>
      <c r="O925" s="21">
        <f>INDEX(Auxiliar!$D$5:$F$13,MATCH(Table1[[#This Row],[Tipologia_Testes]],Auxiliar!$B$5:$B$13,0),MATCH(Table1[[#This Row],[Complexidade]],Auxiliar!$D$4:$F$4,0))</f>
        <v>0.1</v>
      </c>
      <c r="P925" s="2" t="s">
        <v>1320</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1303</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1257</v>
      </c>
      <c r="L926" s="2" t="s">
        <v>650</v>
      </c>
      <c r="M926" s="21" t="s">
        <v>1254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1303</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1249</v>
      </c>
      <c r="L927" s="2" t="s">
        <v>650</v>
      </c>
      <c r="M927" s="21" t="s">
        <v>1254</v>
      </c>
      <c r="N927" s="48">
        <v>45540</v>
      </c>
      <c r="O927" s="21">
        <f>INDEX(Auxiliar!$D$5:$F$13,MATCH(Table1[[#This Row],[Tipologia_Testes]],Auxiliar!$B$5:$B$13,0),MATCH(Table1[[#This Row],[Complexidade]],Auxiliar!$D$4:$F$4,0))</f>
        <v>0.1</v>
      </c>
      <c r="P927" s="2" t="s">
        <v>1320</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1303</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1257</v>
      </c>
      <c r="L928" s="2" t="s">
        <v>650</v>
      </c>
      <c r="M928" s="21" t="s">
        <v>1254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1303</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1249</v>
      </c>
      <c r="L929" s="2" t="s">
        <v>650</v>
      </c>
      <c r="M929" s="21" t="s">
        <v>1254</v>
      </c>
      <c r="N929" s="48">
        <v>45540</v>
      </c>
      <c r="O929" s="21">
        <f>INDEX(Auxiliar!$D$5:$F$13,MATCH(Table1[[#This Row],[Tipologia_Testes]],Auxiliar!$B$5:$B$13,0),MATCH(Table1[[#This Row],[Complexidade]],Auxiliar!$D$4:$F$4,0))</f>
        <v>0.1</v>
      </c>
      <c r="P929" s="2" t="s">
        <v>1320</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1303</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1257</v>
      </c>
      <c r="L930" s="2" t="s">
        <v>650</v>
      </c>
      <c r="M930" s="21" t="s">
        <v>1254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1303</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1249</v>
      </c>
      <c r="L931" s="2" t="s">
        <v>650</v>
      </c>
      <c r="M931" s="21" t="s">
        <v>1254</v>
      </c>
      <c r="N931" s="48">
        <v>45540</v>
      </c>
      <c r="O931" s="21">
        <f>INDEX(Auxiliar!$D$5:$F$13,MATCH(Table1[[#This Row],[Tipologia_Testes]],Auxiliar!$B$5:$B$13,0),MATCH(Table1[[#This Row],[Complexidade]],Auxiliar!$D$4:$F$4,0))</f>
        <v>0.1</v>
      </c>
      <c r="P931" s="2" t="s">
        <v>1320</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1303</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1257</v>
      </c>
      <c r="L932" s="2" t="s">
        <v>650</v>
      </c>
      <c r="M932" s="21" t="s">
        <v>1254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1303</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1249</v>
      </c>
      <c r="L933" s="2" t="s">
        <v>650</v>
      </c>
      <c r="M933" s="21" t="s">
        <v>1254</v>
      </c>
      <c r="N933" s="48">
        <v>45540</v>
      </c>
      <c r="O933" s="21">
        <f>INDEX(Auxiliar!$D$5:$F$13,MATCH(Table1[[#This Row],[Tipologia_Testes]],Auxiliar!$B$5:$B$13,0),MATCH(Table1[[#This Row],[Complexidade]],Auxiliar!$D$4:$F$4,0))</f>
        <v>0.1</v>
      </c>
      <c r="P933" s="2" t="s">
        <v>1320</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1303</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1257</v>
      </c>
      <c r="L934" s="2" t="s">
        <v>650</v>
      </c>
      <c r="M934" s="21" t="s">
        <v>1254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1303</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1249</v>
      </c>
      <c r="L935" s="2" t="s">
        <v>650</v>
      </c>
      <c r="M935" s="21" t="s">
        <v>1254</v>
      </c>
      <c r="N935" s="48">
        <v>45540</v>
      </c>
      <c r="O935" s="21">
        <f>INDEX(Auxiliar!$D$5:$F$13,MATCH(Table1[[#This Row],[Tipologia_Testes]],Auxiliar!$B$5:$B$13,0),MATCH(Table1[[#This Row],[Complexidade]],Auxiliar!$D$4:$F$4,0))</f>
        <v>0.1</v>
      </c>
      <c r="P935" s="2" t="s">
        <v>1320</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1303</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1257</v>
      </c>
      <c r="L936" s="2" t="s">
        <v>650</v>
      </c>
      <c r="M936" s="21" t="s">
        <v>1254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1303</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1249</v>
      </c>
      <c r="L937" s="2" t="s">
        <v>650</v>
      </c>
      <c r="M937" s="21" t="s">
        <v>1254</v>
      </c>
      <c r="N937" s="48">
        <v>45540</v>
      </c>
      <c r="O937" s="21">
        <f>INDEX(Auxiliar!$D$5:$F$13,MATCH(Table1[[#This Row],[Tipologia_Testes]],Auxiliar!$B$5:$B$13,0),MATCH(Table1[[#This Row],[Complexidade]],Auxiliar!$D$4:$F$4,0))</f>
        <v>0.1</v>
      </c>
      <c r="P937" s="2" t="s">
        <v>1320</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1303</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1257</v>
      </c>
      <c r="L938" s="2" t="s">
        <v>650</v>
      </c>
      <c r="M938" s="21" t="s">
        <v>1254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1303</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1249</v>
      </c>
      <c r="L939" s="2" t="s">
        <v>650</v>
      </c>
      <c r="M939" s="21" t="s">
        <v>1254</v>
      </c>
      <c r="N939" s="48">
        <v>45540</v>
      </c>
      <c r="O939" s="21">
        <f>INDEX(Auxiliar!$D$5:$F$13,MATCH(Table1[[#This Row],[Tipologia_Testes]],Auxiliar!$B$5:$B$13,0),MATCH(Table1[[#This Row],[Complexidade]],Auxiliar!$D$4:$F$4,0))</f>
        <v>0.1</v>
      </c>
      <c r="P939" s="2" t="s">
        <v>1320</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1303</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1257</v>
      </c>
      <c r="L940" s="2" t="s">
        <v>650</v>
      </c>
      <c r="M940" s="21" t="s">
        <v>1254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1304</v>
      </c>
      <c r="E941" s="2" t="s">
        <v>38</v>
      </c>
      <c r="F941" s="13" t="s">
        <v>217</v>
      </c>
      <c r="G941" s="13" t="s">
        <v>208</v>
      </c>
      <c r="H941" s="58" t="str">
        <f>Table1[[#This Row],[Tabela]]&amp;Table1[[#This Row],[Campo]]</f>
        <v>modesg_inp_risco_fisicoref_date</v>
      </c>
      <c r="I941" s="3" t="s">
        <v>613</v>
      </c>
      <c r="J941" s="54">
        <f>VLOOKUP(Table1[[#This Row],[Status]],Auxiliar!$B$16:$C$24,2,0)</f>
        <v>1</v>
      </c>
      <c r="K941" s="21" t="s">
        <v>1257</v>
      </c>
      <c r="L941" s="2" t="s">
        <v>650</v>
      </c>
      <c r="M941" s="21" t="s">
        <v>1254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1315</v>
      </c>
    </row>
    <row r="942" spans="2:24" ht="17.7" hidden="1" customHeight="1">
      <c r="B942" s="13" t="s">
        <v>26</v>
      </c>
      <c r="C942" s="13" t="s">
        <v>181</v>
      </c>
      <c r="D942" s="13" t="s">
        <v>1304</v>
      </c>
      <c r="E942" s="2" t="s">
        <v>38</v>
      </c>
      <c r="F942" s="13" t="s">
        <v>217</v>
      </c>
      <c r="G942" s="13" t="s">
        <v>280</v>
      </c>
      <c r="H942" s="58" t="str">
        <f>Table1[[#This Row],[Tabela]]&amp;Table1[[#This Row],[Campo]]</f>
        <v>modesg_inp_risco_fisicocod_pais</v>
      </c>
      <c r="I942" s="3" t="s">
        <v>613</v>
      </c>
      <c r="J942" s="54">
        <f>VLOOKUP(Table1[[#This Row],[Status]],Auxiliar!$B$16:$C$24,2,0)</f>
        <v>1</v>
      </c>
      <c r="K942" s="21" t="s">
        <v>1249</v>
      </c>
      <c r="L942" s="2" t="s">
        <v>1252</v>
      </c>
      <c r="M942" s="21" t="s">
        <v>1254</v>
      </c>
      <c r="N942" s="48">
        <v>45485</v>
      </c>
      <c r="O942" s="21">
        <f>INDEX(Auxiliar!$D$5:$F$13,MATCH(Table1[[#This Row],[Tipologia_Testes]],Auxiliar!$B$5:$B$13,0),MATCH(Table1[[#This Row],[Complexidade]],Auxiliar!$D$4:$F$4,0))</f>
        <v>0.1</v>
      </c>
      <c r="P942" s="2" t="s">
        <v>1321</v>
      </c>
      <c r="Q942" s="2"/>
      <c r="R942" s="152">
        <v>45261</v>
      </c>
      <c r="S942" s="152"/>
      <c r="T942" s="152"/>
      <c r="U942" s="152">
        <v>45603</v>
      </c>
      <c r="V942" s="152"/>
      <c r="W942" s="2">
        <f>VLOOKUP(Table1[[#This Row],[Status]],Auxiliar!$B$16:$D$24,3,0)*Table1[[#This Row],[Estimação (horas)]]</f>
        <v>0.1</v>
      </c>
      <c r="X942" s="2" t="s">
        <v>1315</v>
      </c>
    </row>
    <row r="943" spans="2:24" ht="17.7" hidden="1" customHeight="1">
      <c r="B943" s="13" t="s">
        <v>26</v>
      </c>
      <c r="C943" s="13" t="s">
        <v>181</v>
      </c>
      <c r="D943" s="13" t="s">
        <v>1304</v>
      </c>
      <c r="E943" s="2" t="s">
        <v>38</v>
      </c>
      <c r="F943" s="13" t="s">
        <v>217</v>
      </c>
      <c r="G943" s="13" t="s">
        <v>280</v>
      </c>
      <c r="H943" s="58" t="str">
        <f>Table1[[#This Row],[Tabela]]&amp;Table1[[#This Row],[Campo]]</f>
        <v>modesg_inp_risco_fisicocod_pais</v>
      </c>
      <c r="I943" s="3" t="s">
        <v>613</v>
      </c>
      <c r="J943" s="54">
        <f>VLOOKUP(Table1[[#This Row],[Status]],Auxiliar!$B$16:$C$24,2,0)</f>
        <v>1</v>
      </c>
      <c r="K943" s="21" t="s">
        <v>1257</v>
      </c>
      <c r="L943" s="2" t="s">
        <v>1252</v>
      </c>
      <c r="M943" s="21" t="s">
        <v>1254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1315</v>
      </c>
    </row>
    <row r="944" spans="2:24" ht="17.7" hidden="1" customHeight="1">
      <c r="B944" s="13" t="s">
        <v>26</v>
      </c>
      <c r="C944" s="13" t="s">
        <v>181</v>
      </c>
      <c r="D944" s="13" t="s">
        <v>1304</v>
      </c>
      <c r="E944" s="2" t="s">
        <v>38</v>
      </c>
      <c r="F944" s="13" t="s">
        <v>217</v>
      </c>
      <c r="G944" s="13" t="s">
        <v>281</v>
      </c>
      <c r="H944" s="58" t="str">
        <f>Table1[[#This Row],[Tabela]]&amp;Table1[[#This Row],[Campo]]</f>
        <v>modesg_inp_risco_fisicocod_nutiii</v>
      </c>
      <c r="I944" s="3" t="s">
        <v>613</v>
      </c>
      <c r="J944" s="54">
        <f>VLOOKUP(Table1[[#This Row],[Status]],Auxiliar!$B$16:$C$24,2,0)</f>
        <v>1</v>
      </c>
      <c r="K944" s="21" t="s">
        <v>1257</v>
      </c>
      <c r="L944" s="2" t="s">
        <v>1252</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282</v>
      </c>
      <c r="H945" s="58" t="str">
        <f>Table1[[#This Row],[Tabela]]&amp;Table1[[#This Row],[Campo]]</f>
        <v>modesg_inp_risco_fisicocod_nace_esg</v>
      </c>
      <c r="I945" s="3" t="s">
        <v>613</v>
      </c>
      <c r="J945" s="54">
        <f>VLOOKUP(Table1[[#This Row],[Status]],Auxiliar!$B$16:$C$24,2,0)</f>
        <v>1</v>
      </c>
      <c r="K945" s="21" t="s">
        <v>1249</v>
      </c>
      <c r="L945" s="2" t="s">
        <v>1252</v>
      </c>
      <c r="M945" s="21" t="s">
        <v>1254</v>
      </c>
      <c r="N945" s="48">
        <v>45569</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282</v>
      </c>
      <c r="H946" s="58" t="str">
        <f>Table1[[#This Row],[Tabela]]&amp;Table1[[#This Row],[Campo]]</f>
        <v>modesg_inp_risco_fisicocod_nace_esg</v>
      </c>
      <c r="I946" s="3" t="s">
        <v>613</v>
      </c>
      <c r="J946" s="54">
        <f>VLOOKUP(Table1[[#This Row],[Status]],Auxiliar!$B$16:$C$24,2,0)</f>
        <v>1</v>
      </c>
      <c r="K946" s="21" t="s">
        <v>1257</v>
      </c>
      <c r="L946" s="2" t="s">
        <v>1252</v>
      </c>
      <c r="M946" s="21" t="s">
        <v>1254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1249</v>
      </c>
      <c r="L947" s="2" t="s">
        <v>1252</v>
      </c>
      <c r="M947" s="21" t="s">
        <v>1254</v>
      </c>
      <c r="N947" s="48">
        <v>45485</v>
      </c>
      <c r="O947" s="21">
        <f>INDEX(Auxiliar!$D$5:$F$13,MATCH(Table1[[#This Row],[Tipologia_Testes]],Auxiliar!$B$5:$B$13,0),MATCH(Table1[[#This Row],[Complexidade]],Auxiliar!$D$4:$F$4,0))</f>
        <v>0.1</v>
      </c>
      <c r="P947" s="2" t="s">
        <v>1322</v>
      </c>
      <c r="Q947" s="2"/>
      <c r="R947" s="152">
        <v>45261</v>
      </c>
      <c r="S947" s="152"/>
      <c r="T947" s="152"/>
      <c r="U947" s="152">
        <v>45603</v>
      </c>
      <c r="V947" s="152"/>
      <c r="W947" s="2">
        <f>VLOOKUP(Table1[[#This Row],[Status]],Auxiliar!$B$16:$D$24,3,0)*Table1[[#This Row],[Estimação (horas)]]</f>
        <v>0.1</v>
      </c>
      <c r="X947" s="2" t="s">
        <v>1315</v>
      </c>
    </row>
    <row r="948" spans="2:24" ht="17.7" hidden="1" customHeight="1">
      <c r="B948" s="13" t="s">
        <v>26</v>
      </c>
      <c r="C948" s="13" t="s">
        <v>181</v>
      </c>
      <c r="D948" s="13" t="s">
        <v>1304</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1257</v>
      </c>
      <c r="L948" s="2" t="s">
        <v>1252</v>
      </c>
      <c r="M948" s="21" t="s">
        <v>1254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1315</v>
      </c>
    </row>
    <row r="949" spans="2:24" ht="17.7" hidden="1" customHeight="1">
      <c r="B949" s="13" t="s">
        <v>26</v>
      </c>
      <c r="C949" s="13" t="s">
        <v>181</v>
      </c>
      <c r="D949" s="13" t="s">
        <v>1304</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1249</v>
      </c>
      <c r="L949" s="2" t="s">
        <v>1252</v>
      </c>
      <c r="M949" s="21" t="s">
        <v>1254</v>
      </c>
      <c r="N949" s="48">
        <v>45485</v>
      </c>
      <c r="O949" s="21">
        <f>INDEX(Auxiliar!$D$5:$F$13,MATCH(Table1[[#This Row],[Tipologia_Testes]],Auxiliar!$B$5:$B$13,0),MATCH(Table1[[#This Row],[Complexidade]],Auxiliar!$D$4:$F$4,0))</f>
        <v>0.1</v>
      </c>
      <c r="P949" s="2" t="s">
        <v>1322</v>
      </c>
      <c r="Q949" s="2"/>
      <c r="R949" s="152">
        <v>45261</v>
      </c>
      <c r="S949" s="152"/>
      <c r="T949" s="152"/>
      <c r="U949" s="152">
        <v>45603</v>
      </c>
      <c r="V949" s="152"/>
      <c r="W949" s="2">
        <f>VLOOKUP(Table1[[#This Row],[Status]],Auxiliar!$B$16:$D$24,3,0)*Table1[[#This Row],[Estimação (horas)]]</f>
        <v>0.1</v>
      </c>
      <c r="X949" s="2" t="s">
        <v>1315</v>
      </c>
    </row>
    <row r="950" spans="2:24" ht="17.7" hidden="1" customHeight="1">
      <c r="B950" s="13" t="s">
        <v>26</v>
      </c>
      <c r="C950" s="13" t="s">
        <v>181</v>
      </c>
      <c r="D950" s="13" t="s">
        <v>1304</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1257</v>
      </c>
      <c r="L950" s="2" t="s">
        <v>1252</v>
      </c>
      <c r="M950" s="21" t="s">
        <v>1254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1315</v>
      </c>
    </row>
    <row r="951" spans="2:24" ht="17.7" hidden="1" customHeight="1">
      <c r="B951" s="13" t="s">
        <v>26</v>
      </c>
      <c r="C951" s="13" t="s">
        <v>181</v>
      </c>
      <c r="D951" s="13" t="s">
        <v>1296</v>
      </c>
      <c r="E951" s="2" t="s">
        <v>38</v>
      </c>
      <c r="F951" s="13" t="s">
        <v>218</v>
      </c>
      <c r="G951" s="13" t="s">
        <v>208</v>
      </c>
      <c r="H951" s="58" t="str">
        <f>Table1[[#This Row],[Tabela]]&amp;Table1[[#This Row],[Campo]]</f>
        <v>modesg_inp_emss_scibref_date</v>
      </c>
      <c r="I951" s="2" t="s">
        <v>613</v>
      </c>
      <c r="J951" s="46">
        <f>VLOOKUP(Table1[[#This Row],[Status]],Auxiliar!$B$16:$C$24,2,0)</f>
        <v>1</v>
      </c>
      <c r="K951" s="21" t="s">
        <v>1257</v>
      </c>
      <c r="L951" s="2" t="s">
        <v>1252</v>
      </c>
      <c r="M951" s="21" t="s">
        <v>1254</v>
      </c>
      <c r="N951" s="48">
        <v>45490</v>
      </c>
      <c r="O951" s="21">
        <f>INDEX(Auxiliar!$D$5:$F$13,MATCH(Table1[[#This Row],[Tipologia_Testes]],Auxiliar!$B$5:$B$13,0),MATCH(Table1[[#This Row],[Complexidade]],Auxiliar!$D$4:$F$4,0))</f>
        <v>0.5</v>
      </c>
      <c r="P951" s="2"/>
      <c r="Q951" s="2" t="s">
        <v>1299</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1296</v>
      </c>
      <c r="E952" s="2" t="s">
        <v>38</v>
      </c>
      <c r="F952" s="13" t="s">
        <v>218</v>
      </c>
      <c r="G952" s="13" t="s">
        <v>241</v>
      </c>
      <c r="H952" s="58" t="str">
        <f>Table1[[#This Row],[Tabela]]&amp;Table1[[#This Row],[Campo]]</f>
        <v>modesg_inp_emss_scibccli_kgl</v>
      </c>
      <c r="I952" s="2" t="s">
        <v>613</v>
      </c>
      <c r="J952" s="46">
        <f>VLOOKUP(Table1[[#This Row],[Status]],Auxiliar!$B$16:$C$24,2,0)</f>
        <v>1</v>
      </c>
      <c r="K952" s="21" t="s">
        <v>1249</v>
      </c>
      <c r="L952" s="2" t="s">
        <v>1252</v>
      </c>
      <c r="M952" s="21" t="s">
        <v>1254</v>
      </c>
      <c r="N952" s="48">
        <v>45490</v>
      </c>
      <c r="O952" s="21">
        <f>INDEX(Auxiliar!$D$5:$F$13,MATCH(Table1[[#This Row],[Tipologia_Testes]],Auxiliar!$B$5:$B$13,0),MATCH(Table1[[#This Row],[Complexidade]],Auxiliar!$D$4:$F$4,0))</f>
        <v>0.1</v>
      </c>
      <c r="P952" s="2" t="s">
        <v>1316</v>
      </c>
      <c r="Q952" s="2" t="s">
        <v>1299</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1296</v>
      </c>
      <c r="E953" s="2" t="s">
        <v>38</v>
      </c>
      <c r="F953" s="13" t="s">
        <v>218</v>
      </c>
      <c r="G953" s="13" t="s">
        <v>241</v>
      </c>
      <c r="H953" s="58" t="str">
        <f>Table1[[#This Row],[Tabela]]&amp;Table1[[#This Row],[Campo]]</f>
        <v>modesg_inp_emss_scibccli_kgl</v>
      </c>
      <c r="I953" s="2" t="s">
        <v>613</v>
      </c>
      <c r="J953" s="46">
        <f>VLOOKUP(Table1[[#This Row],[Status]],Auxiliar!$B$16:$C$24,2,0)</f>
        <v>1</v>
      </c>
      <c r="K953" s="21" t="s">
        <v>1257</v>
      </c>
      <c r="L953" s="2" t="s">
        <v>1252</v>
      </c>
      <c r="M953" s="21" t="s">
        <v>1254</v>
      </c>
      <c r="N953" s="48">
        <v>45490</v>
      </c>
      <c r="O953" s="21">
        <f>INDEX(Auxiliar!$D$5:$F$13,MATCH(Table1[[#This Row],[Tipologia_Testes]],Auxiliar!$B$5:$B$13,0),MATCH(Table1[[#This Row],[Complexidade]],Auxiliar!$D$4:$F$4,0))</f>
        <v>0.5</v>
      </c>
      <c r="P953" s="2"/>
      <c r="Q953" s="2" t="s">
        <v>1299</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1296</v>
      </c>
      <c r="E954" s="2" t="s">
        <v>38</v>
      </c>
      <c r="F954" s="13" t="s">
        <v>218</v>
      </c>
      <c r="G954" s="13" t="s">
        <v>285</v>
      </c>
      <c r="H954" s="58" t="str">
        <f>Table1[[#This Row],[Tabela]]&amp;Table1[[#This Row],[Campo]]</f>
        <v>modesg_inp_emss_scibnome_grupo</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239</v>
      </c>
      <c r="H955" s="58" t="str">
        <f>Table1[[#This Row],[Tabela]]&amp;Table1[[#This Row],[Campo]]</f>
        <v>modesg_inp_emss_scibisin</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239</v>
      </c>
      <c r="H956" s="58" t="str">
        <f>Table1[[#This Row],[Tabela]]&amp;Table1[[#This Row],[Campo]]</f>
        <v>modesg_inp_emss_scibisin</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240</v>
      </c>
      <c r="H957" s="58" t="str">
        <f>Table1[[#This Row],[Tabela]]&amp;Table1[[#This Row],[Campo]]</f>
        <v>modesg_inp_emss_scibclei</v>
      </c>
      <c r="I957" s="2" t="s">
        <v>613</v>
      </c>
      <c r="J957" s="46">
        <f>VLOOKUP(Table1[[#This Row],[Status]],Auxiliar!$B$16:$C$24,2,0)</f>
        <v>1</v>
      </c>
      <c r="K957" s="21" t="s">
        <v>1249</v>
      </c>
      <c r="L957" s="2" t="s">
        <v>1252</v>
      </c>
      <c r="M957" s="21" t="s">
        <v>1254</v>
      </c>
      <c r="N957" s="48">
        <v>45490</v>
      </c>
      <c r="O957" s="21">
        <f>INDEX(Auxiliar!$D$5:$F$13,MATCH(Table1[[#This Row],[Tipologia_Testes]],Auxiliar!$B$5:$B$13,0),MATCH(Table1[[#This Row],[Complexidade]],Auxiliar!$D$4:$F$4,0))</f>
        <v>0.1</v>
      </c>
      <c r="P957" s="2" t="s">
        <v>1316</v>
      </c>
      <c r="Q957" s="2" t="s">
        <v>1299</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1296</v>
      </c>
      <c r="E958" s="2" t="s">
        <v>38</v>
      </c>
      <c r="F958" s="13" t="s">
        <v>218</v>
      </c>
      <c r="G958" s="13" t="s">
        <v>240</v>
      </c>
      <c r="H958" s="58" t="str">
        <f>Table1[[#This Row],[Tabela]]&amp;Table1[[#This Row],[Campo]]</f>
        <v>modesg_inp_emss_scibclei</v>
      </c>
      <c r="I958" s="2" t="s">
        <v>613</v>
      </c>
      <c r="J958" s="46">
        <f>VLOOKUP(Table1[[#This Row],[Status]],Auxiliar!$B$16:$C$24,2,0)</f>
        <v>1</v>
      </c>
      <c r="K958" s="21" t="s">
        <v>1257</v>
      </c>
      <c r="L958" s="2" t="s">
        <v>1252</v>
      </c>
      <c r="M958" s="21" t="s">
        <v>1254</v>
      </c>
      <c r="N958" s="48">
        <v>45490</v>
      </c>
      <c r="O958" s="21">
        <f>INDEX(Auxiliar!$D$5:$F$13,MATCH(Table1[[#This Row],[Tipologia_Testes]],Auxiliar!$B$5:$B$13,0),MATCH(Table1[[#This Row],[Complexidade]],Auxiliar!$D$4:$F$4,0))</f>
        <v>0.5</v>
      </c>
      <c r="P958" s="2"/>
      <c r="Q958" s="2" t="s">
        <v>1299</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1296</v>
      </c>
      <c r="E959" s="2" t="s">
        <v>38</v>
      </c>
      <c r="F959" s="13" t="s">
        <v>218</v>
      </c>
      <c r="G959" s="13" t="s">
        <v>286</v>
      </c>
      <c r="H959" s="58" t="str">
        <f>Table1[[#This Row],[Tabela]]&amp;Table1[[#This Row],[Campo]]</f>
        <v>modesg_inp_emss_scibscp1_emss</v>
      </c>
      <c r="I959" s="2" t="s">
        <v>613</v>
      </c>
      <c r="J959" s="46">
        <f>VLOOKUP(Table1[[#This Row],[Status]],Auxiliar!$B$16:$C$24,2,0)</f>
        <v>1</v>
      </c>
      <c r="K959" s="21" t="s">
        <v>1249</v>
      </c>
      <c r="L959" s="2" t="s">
        <v>1252</v>
      </c>
      <c r="M959" s="21" t="s">
        <v>1254</v>
      </c>
      <c r="N959" s="48">
        <v>45499</v>
      </c>
      <c r="O959" s="21">
        <f>INDEX(Auxiliar!$D$5:$F$13,MATCH(Table1[[#This Row],[Tipologia_Testes]],Auxiliar!$B$5:$B$13,0),MATCH(Table1[[#This Row],[Complexidade]],Auxiliar!$D$4:$F$4,0))</f>
        <v>0.1</v>
      </c>
      <c r="P959" s="2" t="s">
        <v>1323</v>
      </c>
      <c r="Q959" s="2" t="s">
        <v>1299</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1296</v>
      </c>
      <c r="E960" s="2" t="s">
        <v>38</v>
      </c>
      <c r="F960" s="13" t="s">
        <v>218</v>
      </c>
      <c r="G960" s="13" t="s">
        <v>286</v>
      </c>
      <c r="H960" s="58" t="str">
        <f>Table1[[#This Row],[Tabela]]&amp;Table1[[#This Row],[Campo]]</f>
        <v>modesg_inp_emss_scibscp1_emss</v>
      </c>
      <c r="I960" s="2" t="s">
        <v>613</v>
      </c>
      <c r="J960" s="46">
        <f>VLOOKUP(Table1[[#This Row],[Status]],Auxiliar!$B$16:$C$24,2,0)</f>
        <v>1</v>
      </c>
      <c r="K960" s="21" t="s">
        <v>1257</v>
      </c>
      <c r="L960" s="2" t="s">
        <v>1252</v>
      </c>
      <c r="M960" s="21" t="s">
        <v>1254</v>
      </c>
      <c r="N960" s="48">
        <v>45490</v>
      </c>
      <c r="O960" s="21">
        <f>INDEX(Auxiliar!$D$5:$F$13,MATCH(Table1[[#This Row],[Tipologia_Testes]],Auxiliar!$B$5:$B$13,0),MATCH(Table1[[#This Row],[Complexidade]],Auxiliar!$D$4:$F$4,0))</f>
        <v>0.5</v>
      </c>
      <c r="P960" s="2"/>
      <c r="Q960" s="2" t="s">
        <v>1299</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1296</v>
      </c>
      <c r="E961" s="2" t="s">
        <v>38</v>
      </c>
      <c r="F961" s="13" t="s">
        <v>218</v>
      </c>
      <c r="G961" s="13" t="s">
        <v>287</v>
      </c>
      <c r="H961" s="58" t="str">
        <f>Table1[[#This Row],[Tabela]]&amp;Table1[[#This Row],[Campo]]</f>
        <v>modesg_inp_emss_scibscp2_emss</v>
      </c>
      <c r="I961" s="2" t="s">
        <v>613</v>
      </c>
      <c r="J961" s="46">
        <f>VLOOKUP(Table1[[#This Row],[Status]],Auxiliar!$B$16:$C$24,2,0)</f>
        <v>1</v>
      </c>
      <c r="K961" s="21" t="s">
        <v>1249</v>
      </c>
      <c r="L961" s="2" t="s">
        <v>1252</v>
      </c>
      <c r="M961" s="21" t="s">
        <v>1254</v>
      </c>
      <c r="N961" s="48">
        <v>45499</v>
      </c>
      <c r="O961" s="21">
        <f>INDEX(Auxiliar!$D$5:$F$13,MATCH(Table1[[#This Row],[Tipologia_Testes]],Auxiliar!$B$5:$B$13,0),MATCH(Table1[[#This Row],[Complexidade]],Auxiliar!$D$4:$F$4,0))</f>
        <v>0.1</v>
      </c>
      <c r="P961" s="2" t="s">
        <v>1323</v>
      </c>
      <c r="Q961" s="2" t="s">
        <v>1299</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1296</v>
      </c>
      <c r="E962" s="2" t="s">
        <v>38</v>
      </c>
      <c r="F962" s="13" t="s">
        <v>218</v>
      </c>
      <c r="G962" s="13" t="s">
        <v>287</v>
      </c>
      <c r="H962" s="58" t="str">
        <f>Table1[[#This Row],[Tabela]]&amp;Table1[[#This Row],[Campo]]</f>
        <v>modesg_inp_emss_scibscp2_emss</v>
      </c>
      <c r="I962" s="2" t="s">
        <v>613</v>
      </c>
      <c r="J962" s="46">
        <f>VLOOKUP(Table1[[#This Row],[Status]],Auxiliar!$B$16:$C$24,2,0)</f>
        <v>1</v>
      </c>
      <c r="K962" s="21" t="s">
        <v>1257</v>
      </c>
      <c r="L962" s="2" t="s">
        <v>1252</v>
      </c>
      <c r="M962" s="21" t="s">
        <v>1254</v>
      </c>
      <c r="N962" s="48">
        <v>45490</v>
      </c>
      <c r="O962" s="21">
        <f>INDEX(Auxiliar!$D$5:$F$13,MATCH(Table1[[#This Row],[Tipologia_Testes]],Auxiliar!$B$5:$B$13,0),MATCH(Table1[[#This Row],[Complexidade]],Auxiliar!$D$4:$F$4,0))</f>
        <v>0.5</v>
      </c>
      <c r="P962" s="2"/>
      <c r="Q962" s="2" t="s">
        <v>1299</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1296</v>
      </c>
      <c r="E963" s="2" t="s">
        <v>38</v>
      </c>
      <c r="F963" s="13" t="s">
        <v>218</v>
      </c>
      <c r="G963" s="13" t="s">
        <v>288</v>
      </c>
      <c r="H963" s="58" t="str">
        <f>Table1[[#This Row],[Tabela]]&amp;Table1[[#This Row],[Campo]]</f>
        <v>modesg_inp_emss_scibscp3_emss</v>
      </c>
      <c r="I963" s="2" t="s">
        <v>613</v>
      </c>
      <c r="J963" s="46">
        <f>VLOOKUP(Table1[[#This Row],[Status]],Auxiliar!$B$16:$C$24,2,0)</f>
        <v>1</v>
      </c>
      <c r="K963" s="21" t="s">
        <v>1249</v>
      </c>
      <c r="L963" s="2" t="s">
        <v>1252</v>
      </c>
      <c r="M963" s="21" t="s">
        <v>1254</v>
      </c>
      <c r="N963" s="48">
        <v>45490</v>
      </c>
      <c r="O963" s="21">
        <f>INDEX(Auxiliar!$D$5:$F$13,MATCH(Table1[[#This Row],[Tipologia_Testes]],Auxiliar!$B$5:$B$13,0),MATCH(Table1[[#This Row],[Complexidade]],Auxiliar!$D$4:$F$4,0))</f>
        <v>0.1</v>
      </c>
      <c r="P963" s="2" t="s">
        <v>1323</v>
      </c>
      <c r="Q963" s="2" t="s">
        <v>1299</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1296</v>
      </c>
      <c r="E964" s="2" t="s">
        <v>38</v>
      </c>
      <c r="F964" s="13" t="s">
        <v>218</v>
      </c>
      <c r="G964" s="13" t="s">
        <v>288</v>
      </c>
      <c r="H964" s="58" t="str">
        <f>Table1[[#This Row],[Tabela]]&amp;Table1[[#This Row],[Campo]]</f>
        <v>modesg_inp_emss_scibscp3_emss</v>
      </c>
      <c r="I964" s="2" t="s">
        <v>613</v>
      </c>
      <c r="J964" s="46">
        <f>VLOOKUP(Table1[[#This Row],[Status]],Auxiliar!$B$16:$C$24,2,0)</f>
        <v>1</v>
      </c>
      <c r="K964" s="21" t="s">
        <v>1257</v>
      </c>
      <c r="L964" s="2" t="s">
        <v>1252</v>
      </c>
      <c r="M964" s="21" t="s">
        <v>1254</v>
      </c>
      <c r="N964" s="48">
        <v>45490</v>
      </c>
      <c r="O964" s="21">
        <f>INDEX(Auxiliar!$D$5:$F$13,MATCH(Table1[[#This Row],[Tipologia_Testes]],Auxiliar!$B$5:$B$13,0),MATCH(Table1[[#This Row],[Complexidade]],Auxiliar!$D$4:$F$4,0))</f>
        <v>0.5</v>
      </c>
      <c r="P964" s="2"/>
      <c r="Q964" s="2" t="s">
        <v>1299</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1296</v>
      </c>
      <c r="E965" s="2" t="s">
        <v>38</v>
      </c>
      <c r="F965" s="13" t="s">
        <v>218</v>
      </c>
      <c r="G965" s="13" t="s">
        <v>289</v>
      </c>
      <c r="H965" s="58" t="str">
        <f>Table1[[#This Row],[Tabela]]&amp;Table1[[#This Row],[Campo]]</f>
        <v>modesg_inp_emss_scibscore_scp1</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290</v>
      </c>
      <c r="H966" s="58" t="str">
        <f>Table1[[#This Row],[Tabela]]&amp;Table1[[#This Row],[Campo]]</f>
        <v>modesg_inp_emss_scibscore_scp2</v>
      </c>
      <c r="I966" s="2" t="s">
        <v>613</v>
      </c>
      <c r="J966" s="46">
        <f>VLOOKUP(Table1[[#This Row],[Status]],Auxiliar!$B$16:$C$24,2,0)</f>
        <v>1</v>
      </c>
      <c r="K966" s="21" t="s">
        <v>1257</v>
      </c>
      <c r="L966" s="2" t="s">
        <v>1252</v>
      </c>
      <c r="M966" s="21" t="s">
        <v>1254</v>
      </c>
      <c r="N966" s="48">
        <v>45490</v>
      </c>
      <c r="O966" s="21">
        <f>INDEX(Auxiliar!$D$5:$F$13,MATCH(Table1[[#This Row],[Tipologia_Testes]],Auxiliar!$B$5:$B$13,0),MATCH(Table1[[#This Row],[Complexidade]],Auxiliar!$D$4:$F$4,0))</f>
        <v>0.5</v>
      </c>
      <c r="P966" s="2"/>
      <c r="Q966" s="2" t="s">
        <v>1299</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1296</v>
      </c>
      <c r="E967" s="2" t="s">
        <v>38</v>
      </c>
      <c r="F967" s="13" t="s">
        <v>218</v>
      </c>
      <c r="G967" s="13" t="s">
        <v>291</v>
      </c>
      <c r="H967" s="58" t="str">
        <f>Table1[[#This Row],[Tabela]]&amp;Table1[[#This Row],[Campo]]</f>
        <v>modesg_inp_emss_scibscore_scp3</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292</v>
      </c>
      <c r="H968" s="58" t="str">
        <f>Table1[[#This Row],[Tabela]]&amp;Table1[[#This Row],[Campo]]</f>
        <v>modesg_inp_emss_sciborigem_scp1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293</v>
      </c>
      <c r="H969" s="58" t="str">
        <f>Table1[[#This Row],[Tabela]]&amp;Table1[[#This Row],[Campo]]</f>
        <v>modesg_inp_emss_sciborigem_scp2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294</v>
      </c>
      <c r="H970" s="58" t="str">
        <f>Table1[[#This Row],[Tabela]]&amp;Table1[[#This Row],[Campo]]</f>
        <v>modesg_inp_emss_sciborigem_scp3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295</v>
      </c>
      <c r="H971" s="58" t="str">
        <f>Table1[[#This Row],[Tabela]]&amp;Table1[[#This Row],[Campo]]</f>
        <v>modesg_inp_emss_scibano_info</v>
      </c>
      <c r="I971" s="2" t="s">
        <v>613</v>
      </c>
      <c r="J971" s="46">
        <f>VLOOKUP(Table1[[#This Row],[Status]],Auxiliar!$B$16:$C$24,2,0)</f>
        <v>1</v>
      </c>
      <c r="K971" s="21" t="s">
        <v>1257</v>
      </c>
      <c r="L971" s="2" t="s">
        <v>1244</v>
      </c>
      <c r="M971" s="21" t="s">
        <v>1254</v>
      </c>
      <c r="N971" s="48">
        <v>45490</v>
      </c>
      <c r="O971" s="21">
        <f>INDEX(Auxiliar!$D$5:$F$13,MATCH(Table1[[#This Row],[Tipologia_Testes]],Auxiliar!$B$5:$B$13,0),MATCH(Table1[[#This Row],[Complexidade]],Auxiliar!$D$4:$F$4,0))</f>
        <v>0.5</v>
      </c>
      <c r="P971" s="2" t="s">
        <v>1324</v>
      </c>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296</v>
      </c>
      <c r="H972" s="58" t="str">
        <f>Table1[[#This Row],[Tabela]]&amp;Table1[[#This Row],[Campo]]</f>
        <v>modesg_inp_emss_scibdivida_total</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297</v>
      </c>
      <c r="H973" s="58" t="str">
        <f>Table1[[#This Row],[Tabela]]&amp;Table1[[#This Row],[Campo]]</f>
        <v>modesg_inp_emss_scibcapital_proprio</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219</v>
      </c>
      <c r="G974" s="13" t="s">
        <v>208</v>
      </c>
      <c r="H974" s="58" t="str">
        <f>Table1[[#This Row],[Tabela]]&amp;Table1[[#This Row],[Campo]]</f>
        <v>modesg_inp_emss_naceref_date</v>
      </c>
      <c r="I974" s="2" t="s">
        <v>613</v>
      </c>
      <c r="J974" s="46">
        <f>VLOOKUP(Table1[[#This Row],[Status]],Auxiliar!$B$16:$C$24,2,0)</f>
        <v>1</v>
      </c>
      <c r="K974" s="21" t="s">
        <v>1257</v>
      </c>
      <c r="L974" s="2" t="s">
        <v>1252</v>
      </c>
      <c r="M974" s="21" t="s">
        <v>1254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219</v>
      </c>
      <c r="G975" s="13" t="s">
        <v>298</v>
      </c>
      <c r="H975" s="58" t="str">
        <f>Table1[[#This Row],[Tabela]]&amp;Table1[[#This Row],[Campo]]</f>
        <v>modesg_inp_emss_naceano</v>
      </c>
      <c r="I975" s="2" t="s">
        <v>613</v>
      </c>
      <c r="J975" s="46">
        <f>VLOOKUP(Table1[[#This Row],[Status]],Auxiliar!$B$16:$C$24,2,0)</f>
        <v>1</v>
      </c>
      <c r="K975" s="21" t="s">
        <v>1257</v>
      </c>
      <c r="L975" s="2" t="s">
        <v>650</v>
      </c>
      <c r="M975" s="21" t="s">
        <v>1254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219</v>
      </c>
      <c r="G976" s="13" t="s">
        <v>222</v>
      </c>
      <c r="H976" s="58" t="str">
        <f>Table1[[#This Row],[Tabela]]&amp;Table1[[#This Row],[Campo]]</f>
        <v>modesg_inp_emss_nacenome_pais</v>
      </c>
      <c r="I976" s="2" t="s">
        <v>613</v>
      </c>
      <c r="J976" s="46">
        <f>VLOOKUP(Table1[[#This Row],[Status]],Auxiliar!$B$16:$C$24,2,0)</f>
        <v>1</v>
      </c>
      <c r="K976" s="21" t="s">
        <v>1257</v>
      </c>
      <c r="L976" s="2" t="s">
        <v>650</v>
      </c>
      <c r="M976" s="21" t="s">
        <v>1254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1296</v>
      </c>
      <c r="E977" s="2" t="s">
        <v>38</v>
      </c>
      <c r="F977" s="13" t="s">
        <v>219</v>
      </c>
      <c r="G977" s="13" t="s">
        <v>282</v>
      </c>
      <c r="H977" s="58" t="str">
        <f>Table1[[#This Row],[Tabela]]&amp;Table1[[#This Row],[Campo]]</f>
        <v>modesg_inp_emss_nacecod_nace_esg</v>
      </c>
      <c r="I977" s="2" t="s">
        <v>613</v>
      </c>
      <c r="J977" s="46">
        <f>VLOOKUP(Table1[[#This Row],[Status]],Auxiliar!$B$16:$C$24,2,0)</f>
        <v>1</v>
      </c>
      <c r="K977" s="21" t="s">
        <v>1249</v>
      </c>
      <c r="L977" s="2" t="s">
        <v>1252</v>
      </c>
      <c r="M977" s="21" t="s">
        <v>1254</v>
      </c>
      <c r="N977" s="48">
        <v>45562</v>
      </c>
      <c r="O977" s="21">
        <f>INDEX(Auxiliar!$D$5:$F$13,MATCH(Table1[[#This Row],[Tipologia_Testes]],Auxiliar!$B$5:$B$13,0),MATCH(Table1[[#This Row],[Complexidade]],Auxiliar!$D$4:$F$4,0))</f>
        <v>0.1</v>
      </c>
      <c r="P977" s="23" t="s">
        <v>1325</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1296</v>
      </c>
      <c r="E978" s="2" t="s">
        <v>38</v>
      </c>
      <c r="F978" s="13" t="s">
        <v>219</v>
      </c>
      <c r="G978" s="13" t="s">
        <v>282</v>
      </c>
      <c r="H978" s="58" t="str">
        <f>Table1[[#This Row],[Tabela]]&amp;Table1[[#This Row],[Campo]]</f>
        <v>modesg_inp_emss_nacecod_nace_esg</v>
      </c>
      <c r="I978" s="2" t="s">
        <v>613</v>
      </c>
      <c r="J978" s="46">
        <f>VLOOKUP(Table1[[#This Row],[Status]],Auxiliar!$B$16:$C$24,2,0)</f>
        <v>1</v>
      </c>
      <c r="K978" s="21" t="s">
        <v>1257</v>
      </c>
      <c r="L978" s="2" t="s">
        <v>1252</v>
      </c>
      <c r="M978" s="21" t="s">
        <v>1254</v>
      </c>
      <c r="N978" s="48">
        <v>45562</v>
      </c>
      <c r="O978" s="21">
        <f>INDEX(Auxiliar!$D$5:$F$13,MATCH(Table1[[#This Row],[Tipologia_Testes]],Auxiliar!$B$5:$B$13,0),MATCH(Table1[[#This Row],[Complexidade]],Auxiliar!$D$4:$F$4,0))</f>
        <v>0.5</v>
      </c>
      <c r="P978" s="23" t="s">
        <v>1325</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299</v>
      </c>
      <c r="H979" s="58" t="str">
        <f>Table1[[#This Row],[Tabela]]&amp;Table1[[#This Row],[Campo]]</f>
        <v>modesg_inp_emss_nacecod_class_indust</v>
      </c>
      <c r="I979" s="2" t="s">
        <v>613</v>
      </c>
      <c r="J979" s="46">
        <f>VLOOKUP(Table1[[#This Row],[Status]],Auxiliar!$B$16:$C$24,2,0)</f>
        <v>1</v>
      </c>
      <c r="K979" s="21" t="s">
        <v>1257</v>
      </c>
      <c r="L979" s="2" t="s">
        <v>1252</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1296</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1257</v>
      </c>
      <c r="L980" s="2" t="s">
        <v>650</v>
      </c>
      <c r="M980" s="21" t="s">
        <v>1254</v>
      </c>
      <c r="N980" s="48">
        <v>45537</v>
      </c>
      <c r="O980" s="21">
        <f>INDEX(Auxiliar!$D$5:$F$13,MATCH(Table1[[#This Row],[Tipologia_Testes]],Auxiliar!$B$5:$B$13,0),MATCH(Table1[[#This Row],[Complexidade]],Auxiliar!$D$4:$F$4,0))</f>
        <v>0.5</v>
      </c>
      <c r="P980" s="2" t="s">
        <v>1326</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1296</v>
      </c>
      <c r="E981" s="2" t="s">
        <v>38</v>
      </c>
      <c r="F981" s="13" t="s">
        <v>219</v>
      </c>
      <c r="G981" s="13" t="s">
        <v>301</v>
      </c>
      <c r="H981" s="58" t="str">
        <f>Table1[[#This Row],[Tabela]]&amp;Table1[[#This Row],[Campo]]</f>
        <v>modesg_inp_emss_naceclasse_ativo</v>
      </c>
      <c r="I981" s="2" t="s">
        <v>613</v>
      </c>
      <c r="J981" s="46">
        <f>VLOOKUP(Table1[[#This Row],[Status]],Auxiliar!$B$16:$C$24,2,0)</f>
        <v>1</v>
      </c>
      <c r="K981" s="21" t="s">
        <v>1257</v>
      </c>
      <c r="L981" s="2" t="s">
        <v>650</v>
      </c>
      <c r="M981" s="21" t="s">
        <v>1254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1257</v>
      </c>
      <c r="L982" s="2" t="s">
        <v>650</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230</v>
      </c>
      <c r="H983" s="58" t="str">
        <f>Table1[[#This Row],[Tabela]]&amp;Table1[[#This Row],[Campo]]</f>
        <v>modesg_inp_emss_naceunidade_funcional</v>
      </c>
      <c r="I983" s="2" t="s">
        <v>613</v>
      </c>
      <c r="J983" s="46">
        <f>VLOOKUP(Table1[[#This Row],[Status]],Auxiliar!$B$16:$C$24,2,0)</f>
        <v>1</v>
      </c>
      <c r="K983" s="21" t="s">
        <v>1249</v>
      </c>
      <c r="L983" s="2" t="s">
        <v>1252</v>
      </c>
      <c r="M983" s="21" t="s">
        <v>1254</v>
      </c>
      <c r="N983" s="48">
        <v>45540</v>
      </c>
      <c r="O983" s="21">
        <f>INDEX(Auxiliar!$D$5:$F$13,MATCH(Table1[[#This Row],[Tipologia_Testes]],Auxiliar!$B$5:$B$13,0),MATCH(Table1[[#This Row],[Complexidade]],Auxiliar!$D$4:$F$4,0))</f>
        <v>0.1</v>
      </c>
      <c r="P983" s="2" t="s">
        <v>1327</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1296</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1257</v>
      </c>
      <c r="L984" s="2" t="s">
        <v>1252</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1257</v>
      </c>
      <c r="L985" s="2" t="s">
        <v>1252</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233</v>
      </c>
      <c r="H986" s="58" t="str">
        <f>Table1[[#This Row],[Tabela]]&amp;Table1[[#This Row],[Campo]]</f>
        <v>modesg_inp_emss_nacescore_qualidade</v>
      </c>
      <c r="I986" s="2" t="s">
        <v>613</v>
      </c>
      <c r="J986" s="46">
        <f>VLOOKUP(Table1[[#This Row],[Status]],Auxiliar!$B$16:$C$24,2,0)</f>
        <v>1</v>
      </c>
      <c r="K986" s="21" t="s">
        <v>1257</v>
      </c>
      <c r="L986" s="2" t="s">
        <v>1244</v>
      </c>
      <c r="M986" s="21" t="s">
        <v>1254</v>
      </c>
      <c r="N986" s="48">
        <v>45540</v>
      </c>
      <c r="O986" s="21">
        <f>INDEX(Auxiliar!$D$5:$F$13,MATCH(Table1[[#This Row],[Tipologia_Testes]],Auxiliar!$B$5:$B$13,0),MATCH(Table1[[#This Row],[Complexidade]],Auxiliar!$D$4:$F$4,0))</f>
        <v>0.5</v>
      </c>
      <c r="P986" s="2" t="s">
        <v>1324</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1296</v>
      </c>
      <c r="E987" s="2" t="s">
        <v>38</v>
      </c>
      <c r="F987" s="13" t="s">
        <v>219</v>
      </c>
      <c r="G987" s="13" t="s">
        <v>234</v>
      </c>
      <c r="H987" s="58" t="str">
        <f>Table1[[#This Row],[Tabela]]&amp;Table1[[#This Row],[Campo]]</f>
        <v>modesg_inp_emss_nacescp1_ftr_emss</v>
      </c>
      <c r="I987" s="2" t="s">
        <v>613</v>
      </c>
      <c r="J987" s="46">
        <f>VLOOKUP(Table1[[#This Row],[Status]],Auxiliar!$B$16:$C$24,2,0)</f>
        <v>1</v>
      </c>
      <c r="K987" s="21" t="s">
        <v>1249</v>
      </c>
      <c r="L987" s="2" t="s">
        <v>1252</v>
      </c>
      <c r="M987" s="21" t="s">
        <v>1254</v>
      </c>
      <c r="N987" s="48">
        <v>45562</v>
      </c>
      <c r="O987" s="21">
        <f>INDEX(Auxiliar!$D$5:$F$13,MATCH(Table1[[#This Row],[Tipologia_Testes]],Auxiliar!$B$5:$B$13,0),MATCH(Table1[[#This Row],[Complexidade]],Auxiliar!$D$4:$F$4,0))</f>
        <v>0.1</v>
      </c>
      <c r="P987" s="2" t="s">
        <v>1328</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1296</v>
      </c>
      <c r="E988" s="2" t="s">
        <v>38</v>
      </c>
      <c r="F988" s="13" t="s">
        <v>219</v>
      </c>
      <c r="G988" s="13" t="s">
        <v>234</v>
      </c>
      <c r="H988" s="58" t="str">
        <f>Table1[[#This Row],[Tabela]]&amp;Table1[[#This Row],[Campo]]</f>
        <v>modesg_inp_emss_nacescp1_ftr_emss</v>
      </c>
      <c r="I988" s="2" t="s">
        <v>613</v>
      </c>
      <c r="J988" s="46">
        <f>VLOOKUP(Table1[[#This Row],[Status]],Auxiliar!$B$16:$C$24,2,0)</f>
        <v>1</v>
      </c>
      <c r="K988" s="21" t="s">
        <v>1257</v>
      </c>
      <c r="L988" s="2" t="s">
        <v>1252</v>
      </c>
      <c r="M988" s="21" t="s">
        <v>1254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235</v>
      </c>
      <c r="H989" s="58" t="str">
        <f>Table1[[#This Row],[Tabela]]&amp;Table1[[#This Row],[Campo]]</f>
        <v>modesg_inp_emss_nacescp2_ftr_emss</v>
      </c>
      <c r="I989" s="2" t="s">
        <v>613</v>
      </c>
      <c r="J989" s="46">
        <f>VLOOKUP(Table1[[#This Row],[Status]],Auxiliar!$B$16:$C$24,2,0)</f>
        <v>1</v>
      </c>
      <c r="K989" s="21" t="s">
        <v>1249</v>
      </c>
      <c r="L989" s="2" t="s">
        <v>1252</v>
      </c>
      <c r="M989" s="21" t="s">
        <v>1254</v>
      </c>
      <c r="N989" s="48">
        <v>45562</v>
      </c>
      <c r="O989" s="21">
        <f>INDEX(Auxiliar!$D$5:$F$13,MATCH(Table1[[#This Row],[Tipologia_Testes]],Auxiliar!$B$5:$B$13,0),MATCH(Table1[[#This Row],[Complexidade]],Auxiliar!$D$4:$F$4,0))</f>
        <v>0.1</v>
      </c>
      <c r="P989" s="2" t="s">
        <v>1328</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1296</v>
      </c>
      <c r="E990" s="2" t="s">
        <v>38</v>
      </c>
      <c r="F990" s="13" t="s">
        <v>219</v>
      </c>
      <c r="G990" s="13" t="s">
        <v>235</v>
      </c>
      <c r="H990" s="58" t="str">
        <f>Table1[[#This Row],[Tabela]]&amp;Table1[[#This Row],[Campo]]</f>
        <v>modesg_inp_emss_nacescp2_ftr_emss</v>
      </c>
      <c r="I990" s="2" t="s">
        <v>613</v>
      </c>
      <c r="J990" s="46">
        <f>VLOOKUP(Table1[[#This Row],[Status]],Auxiliar!$B$16:$C$24,2,0)</f>
        <v>1</v>
      </c>
      <c r="K990" s="21" t="s">
        <v>1257</v>
      </c>
      <c r="L990" s="2" t="s">
        <v>1252</v>
      </c>
      <c r="M990" s="21" t="s">
        <v>1254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1296</v>
      </c>
      <c r="E991" s="2" t="s">
        <v>38</v>
      </c>
      <c r="F991" s="13" t="s">
        <v>219</v>
      </c>
      <c r="G991" s="13" t="s">
        <v>236</v>
      </c>
      <c r="H991" s="58" t="str">
        <f>Table1[[#This Row],[Tabela]]&amp;Table1[[#This Row],[Campo]]</f>
        <v>modesg_inp_emss_nacescp3_ftr_emss</v>
      </c>
      <c r="I991" s="2" t="s">
        <v>613</v>
      </c>
      <c r="J991" s="46">
        <f>VLOOKUP(Table1[[#This Row],[Status]],Auxiliar!$B$16:$C$24,2,0)</f>
        <v>1</v>
      </c>
      <c r="K991" s="21" t="s">
        <v>1249</v>
      </c>
      <c r="L991" s="2" t="s">
        <v>1252</v>
      </c>
      <c r="M991" s="21" t="s">
        <v>1254</v>
      </c>
      <c r="N991" s="48">
        <v>45562</v>
      </c>
      <c r="O991" s="21">
        <f>INDEX(Auxiliar!$D$5:$F$13,MATCH(Table1[[#This Row],[Tipologia_Testes]],Auxiliar!$B$5:$B$13,0),MATCH(Table1[[#This Row],[Complexidade]],Auxiliar!$D$4:$F$4,0))</f>
        <v>0.1</v>
      </c>
      <c r="P991" s="2" t="s">
        <v>1328</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1296</v>
      </c>
      <c r="E992" s="2" t="s">
        <v>38</v>
      </c>
      <c r="F992" s="13" t="s">
        <v>219</v>
      </c>
      <c r="G992" s="13" t="s">
        <v>236</v>
      </c>
      <c r="H992" s="58" t="str">
        <f>Table1[[#This Row],[Tabela]]&amp;Table1[[#This Row],[Campo]]</f>
        <v>modesg_inp_emss_nacescp3_ftr_emss</v>
      </c>
      <c r="I992" s="2" t="s">
        <v>613</v>
      </c>
      <c r="J992" s="46">
        <f>VLOOKUP(Table1[[#This Row],[Status]],Auxiliar!$B$16:$C$24,2,0)</f>
        <v>1</v>
      </c>
      <c r="K992" s="21" t="s">
        <v>1257</v>
      </c>
      <c r="L992" s="2" t="s">
        <v>1252</v>
      </c>
      <c r="M992" s="21" t="s">
        <v>1254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1296</v>
      </c>
      <c r="E993" s="2" t="s">
        <v>38</v>
      </c>
      <c r="F993" s="13" t="s">
        <v>220</v>
      </c>
      <c r="G993" s="13" t="s">
        <v>208</v>
      </c>
      <c r="H993" s="58" t="str">
        <f>Table1[[#This Row],[Tabela]]&amp;Table1[[#This Row],[Campo]]</f>
        <v>modesg_inp_emss_bens_imoveisref_date</v>
      </c>
      <c r="I993" s="2" t="s">
        <v>613</v>
      </c>
      <c r="J993" s="46">
        <f>VLOOKUP(Table1[[#This Row],[Status]],Auxiliar!$B$16:$C$24,2,0)</f>
        <v>1</v>
      </c>
      <c r="K993" s="21" t="s">
        <v>1257</v>
      </c>
      <c r="L993" s="21" t="s">
        <v>1252</v>
      </c>
      <c r="M993" s="21" t="s">
        <v>1254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1296</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1257</v>
      </c>
      <c r="L994" s="21" t="s">
        <v>1252</v>
      </c>
      <c r="M994" s="21" t="s">
        <v>1254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1296</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1257</v>
      </c>
      <c r="L995" s="21" t="s">
        <v>1252</v>
      </c>
      <c r="M995" s="21" t="s">
        <v>1254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1296</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1257</v>
      </c>
      <c r="L996" s="2" t="s">
        <v>650</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1257</v>
      </c>
      <c r="L997" s="2" t="s">
        <v>650</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305</v>
      </c>
      <c r="H998" s="58" t="str">
        <f>Table1[[#This Row],[Tabela]]&amp;Table1[[#This Row],[Campo]]</f>
        <v>modesg_inp_emss_bens_imoveisregiao</v>
      </c>
      <c r="I998" s="2" t="s">
        <v>613</v>
      </c>
      <c r="J998" s="46">
        <f>VLOOKUP(Table1[[#This Row],[Status]],Auxiliar!$B$16:$C$24,2,0)</f>
        <v>1</v>
      </c>
      <c r="K998" s="21" t="s">
        <v>1257</v>
      </c>
      <c r="L998" s="2" t="s">
        <v>650</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13" t="s">
        <v>306</v>
      </c>
      <c r="H999" s="58" t="str">
        <f>Table1[[#This Row],[Tabela]]&amp;Table1[[#This Row],[Campo]]</f>
        <v>modesg_inp_emss_bens_imoveistipo_bem</v>
      </c>
      <c r="I999" s="2" t="s">
        <v>613</v>
      </c>
      <c r="J999" s="46">
        <f>VLOOKUP(Table1[[#This Row],[Status]],Auxiliar!$B$16:$C$24,2,0)</f>
        <v>1</v>
      </c>
      <c r="K999" s="21" t="s">
        <v>1257</v>
      </c>
      <c r="L999" s="21" t="s">
        <v>1252</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1257</v>
      </c>
      <c r="L1000" s="21" t="s">
        <v>1252</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1257</v>
      </c>
      <c r="L1001" s="21" t="s">
        <v>1252</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1296</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t="s">
        <v>1329</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1257</v>
      </c>
      <c r="L1005" s="21" t="s">
        <v>1252</v>
      </c>
      <c r="M1005" s="21" t="s">
        <v>1254</v>
      </c>
      <c r="N1005" s="48">
        <v>45546</v>
      </c>
      <c r="O1005" s="21">
        <f>INDEX(Auxiliar!$D$5:$F$13,MATCH(Table1[[#This Row],[Tipologia_Testes]],Auxiliar!$B$5:$B$13,0),MATCH(Table1[[#This Row],[Complexidade]],Auxiliar!$D$4:$F$4,0))</f>
        <v>0.5</v>
      </c>
      <c r="P1005" s="2" t="s">
        <v>1329</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1296</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t="s">
        <v>1329</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1257</v>
      </c>
      <c r="L1007" s="2" t="s">
        <v>1244</v>
      </c>
      <c r="M1007" s="21" t="s">
        <v>1254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1257</v>
      </c>
      <c r="L1008" s="2" t="s">
        <v>650</v>
      </c>
      <c r="M1008" s="21" t="s">
        <v>1254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1249</v>
      </c>
      <c r="L1009" s="21" t="s">
        <v>1252</v>
      </c>
      <c r="M1009" s="21" t="s">
        <v>1254</v>
      </c>
      <c r="N1009" s="48">
        <v>45546</v>
      </c>
      <c r="O1009" s="21">
        <f>INDEX(Auxiliar!$D$5:$F$13,MATCH(Table1[[#This Row],[Tipologia_Testes]],Auxiliar!$B$5:$B$13,0),MATCH(Table1[[#This Row],[Complexidade]],Auxiliar!$D$4:$F$4,0))</f>
        <v>0.1</v>
      </c>
      <c r="P1009" s="2" t="s">
        <v>1330</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1296</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1257</v>
      </c>
      <c r="L1010" s="21" t="s">
        <v>1252</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1249</v>
      </c>
      <c r="L1011" s="21" t="s">
        <v>1252</v>
      </c>
      <c r="M1011" s="21" t="s">
        <v>1254</v>
      </c>
      <c r="N1011" s="48">
        <v>45546</v>
      </c>
      <c r="O1011" s="21">
        <f>INDEX(Auxiliar!$D$5:$F$13,MATCH(Table1[[#This Row],[Tipologia_Testes]],Auxiliar!$B$5:$B$13,0),MATCH(Table1[[#This Row],[Complexidade]],Auxiliar!$D$4:$F$4,0))</f>
        <v>0.1</v>
      </c>
      <c r="P1011" s="2" t="s">
        <v>1330</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1296</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1257</v>
      </c>
      <c r="L1012" s="21" t="s">
        <v>1252</v>
      </c>
      <c r="M1012" s="21" t="s">
        <v>1254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1296</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1257</v>
      </c>
      <c r="L1013" s="21" t="s">
        <v>1252</v>
      </c>
      <c r="M1013" s="21" t="s">
        <v>1254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1331</v>
      </c>
      <c r="F1014" s="40" t="s">
        <v>336</v>
      </c>
      <c r="G1014" s="38" t="s">
        <v>337</v>
      </c>
      <c r="H1014" s="60" t="str">
        <f>Table1[[#This Row],[Tabela]]&amp;Table1[[#This Row],[Campo]]</f>
        <v>lt003_entitynace_esg</v>
      </c>
      <c r="I1014" s="2" t="s">
        <v>613</v>
      </c>
      <c r="J1014" s="45">
        <f>VLOOKUP(Table1[[#This Row],[Status]],Auxiliar!$B$16:$C$24,2,0)</f>
        <v>1</v>
      </c>
      <c r="K1014" s="45" t="s">
        <v>1246</v>
      </c>
      <c r="L1014" s="46" t="s">
        <v>1252</v>
      </c>
      <c r="M1014" s="21" t="s">
        <v>1253</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1331</v>
      </c>
      <c r="F1015" s="40" t="s">
        <v>336</v>
      </c>
      <c r="G1015" s="38" t="s">
        <v>337</v>
      </c>
      <c r="H1015" s="60" t="str">
        <f>Table1[[#This Row],[Tabela]]&amp;Table1[[#This Row],[Campo]]</f>
        <v>lt003_entitynace_esg</v>
      </c>
      <c r="I1015" s="2" t="s">
        <v>613</v>
      </c>
      <c r="J1015" s="45">
        <f>VLOOKUP(Table1[[#This Row],[Status]],Auxiliar!$B$16:$C$24,2,0)</f>
        <v>1</v>
      </c>
      <c r="K1015" s="45" t="s">
        <v>1247</v>
      </c>
      <c r="L1015" s="46" t="s">
        <v>1252</v>
      </c>
      <c r="M1015" s="21" t="s">
        <v>1253</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1331</v>
      </c>
      <c r="F1016" s="40" t="s">
        <v>336</v>
      </c>
      <c r="G1016" s="38" t="s">
        <v>337</v>
      </c>
      <c r="H1016" s="60" t="str">
        <f>Table1[[#This Row],[Tabela]]&amp;Table1[[#This Row],[Campo]]</f>
        <v>lt003_entitynace_esg</v>
      </c>
      <c r="I1016" s="2" t="s">
        <v>613</v>
      </c>
      <c r="J1016" s="45">
        <f>VLOOKUP(Table1[[#This Row],[Status]],Auxiliar!$B$16:$C$24,2,0)</f>
        <v>1</v>
      </c>
      <c r="K1016" s="45" t="s">
        <v>1249</v>
      </c>
      <c r="L1016" s="46" t="s">
        <v>1252</v>
      </c>
      <c r="M1016" s="21" t="s">
        <v>1253</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1246</v>
      </c>
      <c r="L1017" s="46" t="s">
        <v>1252</v>
      </c>
      <c r="M1017" s="21" t="s">
        <v>1253</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1247</v>
      </c>
      <c r="L1018" s="46" t="s">
        <v>1252</v>
      </c>
      <c r="M1018" s="21" t="s">
        <v>1253</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1249</v>
      </c>
      <c r="L1019" s="46" t="s">
        <v>1252</v>
      </c>
      <c r="M1019" s="21" t="s">
        <v>1253</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1246</v>
      </c>
      <c r="L1041" s="46" t="s">
        <v>1252</v>
      </c>
      <c r="M1041" s="21" t="s">
        <v>1253</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1247</v>
      </c>
      <c r="L1042" s="46" t="s">
        <v>1252</v>
      </c>
      <c r="M1042" s="21" t="s">
        <v>1253</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1249</v>
      </c>
      <c r="L1043" s="46" t="s">
        <v>1252</v>
      </c>
      <c r="M1043" s="21" t="s">
        <v>1253</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1246</v>
      </c>
      <c r="L1044" s="46" t="s">
        <v>1252</v>
      </c>
      <c r="M1044" s="21" t="s">
        <v>1253</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1247</v>
      </c>
      <c r="L1045" s="46" t="s">
        <v>1252</v>
      </c>
      <c r="M1045" s="21" t="s">
        <v>1253</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1249</v>
      </c>
      <c r="L1046" s="46" t="s">
        <v>1252</v>
      </c>
      <c r="M1046" s="21" t="s">
        <v>1253</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1331</v>
      </c>
      <c r="F1059" s="40" t="s">
        <v>336</v>
      </c>
      <c r="G1059" s="38" t="s">
        <v>353</v>
      </c>
      <c r="H1059" s="60" t="str">
        <f>Table1[[#This Row],[Tabela]]&amp;Table1[[#This Row],[Campo]]</f>
        <v>lt003_entityflg_nfrd_applcblty</v>
      </c>
      <c r="I1059" s="2" t="s">
        <v>613</v>
      </c>
      <c r="J1059" s="45">
        <f>VLOOKUP(Table1[[#This Row],[Status]],Auxiliar!$B$16:$C$24,2,0)</f>
        <v>1</v>
      </c>
      <c r="K1059" s="45" t="s">
        <v>1246</v>
      </c>
      <c r="L1059" s="46" t="s">
        <v>1252</v>
      </c>
      <c r="M1059" s="21" t="s">
        <v>1253</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1331</v>
      </c>
      <c r="F1060" s="39" t="s">
        <v>336</v>
      </c>
      <c r="G1060" s="39" t="s">
        <v>353</v>
      </c>
      <c r="H1060" s="59" t="str">
        <f>Table1[[#This Row],[Tabela]]&amp;Table1[[#This Row],[Campo]]</f>
        <v>lt003_entityflg_nfrd_applcblty</v>
      </c>
      <c r="I1060" s="2" t="s">
        <v>613</v>
      </c>
      <c r="J1060" s="45">
        <f>VLOOKUP(Table1[[#This Row],[Status]],Auxiliar!$B$16:$C$24,2,0)</f>
        <v>1</v>
      </c>
      <c r="K1060" s="45" t="s">
        <v>1247</v>
      </c>
      <c r="L1060" s="46" t="s">
        <v>1252</v>
      </c>
      <c r="M1060" s="21" t="s">
        <v>1253</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1331</v>
      </c>
      <c r="F1061" s="39" t="s">
        <v>336</v>
      </c>
      <c r="G1061" s="39" t="s">
        <v>353</v>
      </c>
      <c r="H1061" s="59" t="str">
        <f>Table1[[#This Row],[Tabela]]&amp;Table1[[#This Row],[Campo]]</f>
        <v>lt003_entityflg_nfrd_applcblty</v>
      </c>
      <c r="I1061" s="2" t="s">
        <v>613</v>
      </c>
      <c r="J1061" s="45">
        <f>VLOOKUP(Table1[[#This Row],[Status]],Auxiliar!$B$16:$C$24,2,0)</f>
        <v>1</v>
      </c>
      <c r="K1061" s="45" t="s">
        <v>1249</v>
      </c>
      <c r="L1061" s="46" t="s">
        <v>1252</v>
      </c>
      <c r="M1061" s="21" t="s">
        <v>1253</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1921</v>
      </c>
      <c r="J1062" s="45">
        <f>VLOOKUP(Table1[[#This Row],[Status]],Auxiliar!$B$16:$C$24,2,0)</f>
        <v>2</v>
      </c>
      <c r="K1062" s="45" t="s">
        <v>1246</v>
      </c>
      <c r="L1062" s="46" t="s">
        <v>1252</v>
      </c>
      <c r="M1062" s="21" t="s">
        <v>1253</v>
      </c>
      <c r="N1062" s="48">
        <v>45971</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1921</v>
      </c>
      <c r="J1063" s="45">
        <f>VLOOKUP(Table1[[#This Row],[Status]],Auxiliar!$B$16:$C$24,2,0)</f>
        <v>2</v>
      </c>
      <c r="K1063" s="45" t="s">
        <v>1247</v>
      </c>
      <c r="L1063" s="46" t="s">
        <v>1252</v>
      </c>
      <c r="M1063" s="21" t="s">
        <v>1253</v>
      </c>
      <c r="N1063" s="48">
        <v>45971</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1921</v>
      </c>
      <c r="J1064" s="45">
        <f>VLOOKUP(Table1[[#This Row],[Status]],Auxiliar!$B$16:$C$24,2,0)</f>
        <v>2</v>
      </c>
      <c r="K1064" s="45" t="s">
        <v>1249</v>
      </c>
      <c r="L1064" s="46" t="s">
        <v>1252</v>
      </c>
      <c r="M1064" s="21" t="s">
        <v>1253</v>
      </c>
      <c r="N1064" s="48">
        <v>45971</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1921</v>
      </c>
      <c r="J1065" s="45">
        <f>VLOOKUP(Table1[[#This Row],[Status]],Auxiliar!$B$16:$C$24,2,0)</f>
        <v>2</v>
      </c>
      <c r="K1065" s="45" t="s">
        <v>1246</v>
      </c>
      <c r="L1065" s="46" t="s">
        <v>1252</v>
      </c>
      <c r="M1065" s="21" t="s">
        <v>1253</v>
      </c>
      <c r="N1065" s="48">
        <v>45971</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1921</v>
      </c>
      <c r="J1066" s="45">
        <f>VLOOKUP(Table1[[#This Row],[Status]],Auxiliar!$B$16:$C$24,2,0)</f>
        <v>2</v>
      </c>
      <c r="K1066" s="45" t="s">
        <v>1247</v>
      </c>
      <c r="L1066" s="46" t="s">
        <v>1252</v>
      </c>
      <c r="M1066" s="21" t="s">
        <v>1253</v>
      </c>
      <c r="N1066" s="48">
        <v>45971</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1921</v>
      </c>
      <c r="J1067" s="45">
        <f>VLOOKUP(Table1[[#This Row],[Status]],Auxiliar!$B$16:$C$24,2,0)</f>
        <v>2</v>
      </c>
      <c r="K1067" s="45" t="s">
        <v>1249</v>
      </c>
      <c r="L1067" s="46" t="s">
        <v>1252</v>
      </c>
      <c r="M1067" s="21" t="s">
        <v>1253</v>
      </c>
      <c r="N1067" s="48">
        <v>45971</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1921</v>
      </c>
      <c r="J1068" s="45">
        <f>VLOOKUP(Table1[[#This Row],[Status]],Auxiliar!$B$16:$C$24,2,0)</f>
        <v>2</v>
      </c>
      <c r="K1068" s="45" t="s">
        <v>1246</v>
      </c>
      <c r="L1068" s="46" t="s">
        <v>1252</v>
      </c>
      <c r="M1068" s="21" t="s">
        <v>1253</v>
      </c>
      <c r="N1068" s="48">
        <v>45971</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1921</v>
      </c>
      <c r="J1069" s="45">
        <f>VLOOKUP(Table1[[#This Row],[Status]],Auxiliar!$B$16:$C$24,2,0)</f>
        <v>2</v>
      </c>
      <c r="K1069" s="45" t="s">
        <v>1247</v>
      </c>
      <c r="L1069" s="46" t="s">
        <v>1252</v>
      </c>
      <c r="M1069" s="21" t="s">
        <v>1253</v>
      </c>
      <c r="N1069" s="48">
        <v>45971</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1921</v>
      </c>
      <c r="J1070" s="45">
        <f>VLOOKUP(Table1[[#This Row],[Status]],Auxiliar!$B$16:$C$24,2,0)</f>
        <v>2</v>
      </c>
      <c r="K1070" s="45" t="s">
        <v>1249</v>
      </c>
      <c r="L1070" s="46" t="s">
        <v>1252</v>
      </c>
      <c r="M1070" s="21" t="s">
        <v>1253</v>
      </c>
      <c r="N1070" s="48">
        <v>45971</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1331</v>
      </c>
      <c r="F1071" s="40" t="s">
        <v>336</v>
      </c>
      <c r="G1071" s="38" t="s">
        <v>357</v>
      </c>
      <c r="H1071" s="60" t="str">
        <f>Table1[[#This Row],[Tabela]]&amp;Table1[[#This Row],[Campo]]</f>
        <v>lt003_entityflg_excldd_eu_prs_algnd_bnchmrk</v>
      </c>
      <c r="I1071" s="2" t="s">
        <v>613</v>
      </c>
      <c r="J1071" s="45">
        <f>VLOOKUP(Table1[[#This Row],[Status]],Auxiliar!$B$16:$C$24,2,0)</f>
        <v>1</v>
      </c>
      <c r="K1071" s="45" t="s">
        <v>1246</v>
      </c>
      <c r="L1071" s="46" t="s">
        <v>1252</v>
      </c>
      <c r="M1071" s="21" t="s">
        <v>1253</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1331</v>
      </c>
      <c r="F1072" s="39" t="s">
        <v>336</v>
      </c>
      <c r="G1072" s="39" t="s">
        <v>357</v>
      </c>
      <c r="H1072" s="59" t="str">
        <f>Table1[[#This Row],[Tabela]]&amp;Table1[[#This Row],[Campo]]</f>
        <v>lt003_entityflg_excldd_eu_prs_algnd_bnchmrk</v>
      </c>
      <c r="I1072" s="2" t="s">
        <v>613</v>
      </c>
      <c r="J1072" s="45">
        <f>VLOOKUP(Table1[[#This Row],[Status]],Auxiliar!$B$16:$C$24,2,0)</f>
        <v>1</v>
      </c>
      <c r="K1072" s="45" t="s">
        <v>1247</v>
      </c>
      <c r="L1072" s="46" t="s">
        <v>1252</v>
      </c>
      <c r="M1072" s="21" t="s">
        <v>1253</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1331</v>
      </c>
      <c r="F1073" s="39" t="s">
        <v>336</v>
      </c>
      <c r="G1073" s="39" t="s">
        <v>357</v>
      </c>
      <c r="H1073" s="59" t="str">
        <f>Table1[[#This Row],[Tabela]]&amp;Table1[[#This Row],[Campo]]</f>
        <v>lt003_entityflg_excldd_eu_prs_algnd_bnchmrk</v>
      </c>
      <c r="I1073" s="2" t="s">
        <v>613</v>
      </c>
      <c r="J1073" s="45">
        <f>VLOOKUP(Table1[[#This Row],[Status]],Auxiliar!$B$16:$C$24,2,0)</f>
        <v>1</v>
      </c>
      <c r="K1073" s="45" t="s">
        <v>1249</v>
      </c>
      <c r="L1073" s="46" t="s">
        <v>1252</v>
      </c>
      <c r="M1073" s="21" t="s">
        <v>1253</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1331</v>
      </c>
      <c r="F1074" s="40" t="s">
        <v>336</v>
      </c>
      <c r="G1074" s="38" t="s">
        <v>358</v>
      </c>
      <c r="H1074" s="60" t="str">
        <f>Table1[[#This Row],[Tabela]]&amp;Table1[[#This Row],[Campo]]</f>
        <v>lt003_entityflg_act_physcl_rsk</v>
      </c>
      <c r="I1074" s="2" t="s">
        <v>613</v>
      </c>
      <c r="J1074" s="45">
        <f>VLOOKUP(Table1[[#This Row],[Status]],Auxiliar!$B$16:$C$24,2,0)</f>
        <v>1</v>
      </c>
      <c r="K1074" s="45" t="s">
        <v>1246</v>
      </c>
      <c r="L1074" s="46" t="s">
        <v>1252</v>
      </c>
      <c r="M1074" s="21" t="s">
        <v>1253</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358</v>
      </c>
      <c r="H1075" s="59" t="str">
        <f>Table1[[#This Row],[Tabela]]&amp;Table1[[#This Row],[Campo]]</f>
        <v>lt003_entityflg_act_physcl_rsk</v>
      </c>
      <c r="I1075" s="2" t="s">
        <v>613</v>
      </c>
      <c r="J1075" s="45">
        <f>VLOOKUP(Table1[[#This Row],[Status]],Auxiliar!$B$16:$C$24,2,0)</f>
        <v>1</v>
      </c>
      <c r="K1075" s="45" t="s">
        <v>1247</v>
      </c>
      <c r="L1075" s="46" t="s">
        <v>1252</v>
      </c>
      <c r="M1075" s="21" t="s">
        <v>1253</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358</v>
      </c>
      <c r="H1076" s="59" t="str">
        <f>Table1[[#This Row],[Tabela]]&amp;Table1[[#This Row],[Campo]]</f>
        <v>lt003_entityflg_act_physcl_rsk</v>
      </c>
      <c r="I1076" s="2" t="s">
        <v>613</v>
      </c>
      <c r="J1076" s="45">
        <f>VLOOKUP(Table1[[#This Row],[Status]],Auxiliar!$B$16:$C$24,2,0)</f>
        <v>1</v>
      </c>
      <c r="K1076" s="45" t="s">
        <v>1249</v>
      </c>
      <c r="L1076" s="46" t="s">
        <v>1252</v>
      </c>
      <c r="M1076" s="21" t="s">
        <v>1253</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359</v>
      </c>
      <c r="H1077" s="60" t="str">
        <f>Table1[[#This Row],[Tabela]]&amp;Table1[[#This Row],[Campo]]</f>
        <v>lt003_entityflg_chrnc_physcl_rsk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359</v>
      </c>
      <c r="H1078" s="59" t="str">
        <f>Table1[[#This Row],[Tabela]]&amp;Table1[[#This Row],[Campo]]</f>
        <v>lt003_entityflg_chrnc_physcl_rsk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359</v>
      </c>
      <c r="H1079" s="59" t="str">
        <f>Table1[[#This Row],[Tabela]]&amp;Table1[[#This Row],[Campo]]</f>
        <v>lt003_entityflg_chrnc_physcl_rsk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1333</v>
      </c>
      <c r="E1080" s="111" t="s">
        <v>1334</v>
      </c>
      <c r="F1080" s="40" t="s">
        <v>336</v>
      </c>
      <c r="G1080" s="38" t="s">
        <v>360</v>
      </c>
      <c r="H1080" s="60" t="str">
        <f>Table1[[#This Row],[Tabela]]&amp;Table1[[#This Row],[Campo]]</f>
        <v>lt003_entitypst_cd</v>
      </c>
      <c r="I1080" s="2" t="s">
        <v>613</v>
      </c>
      <c r="J1080" s="45">
        <f>VLOOKUP(Table1[[#This Row],[Status]],Auxiliar!$B$16:$C$24,2,0)</f>
        <v>1</v>
      </c>
      <c r="K1080" s="45" t="s">
        <v>1246</v>
      </c>
      <c r="L1080" s="46" t="s">
        <v>1252</v>
      </c>
      <c r="M1080" s="21" t="s">
        <v>1253</v>
      </c>
      <c r="N1080" s="48">
        <v>45604</v>
      </c>
      <c r="O1080" s="21">
        <f>INDEX(Auxiliar!$D$5:$F$13,MATCH(Table1[[#This Row],[Tipologia_Testes]],Auxiliar!$B$5:$B$13,0),MATCH(Table1[[#This Row],[Complexidade]],Auxiliar!$D$4:$F$4,0))</f>
        <v>2</v>
      </c>
      <c r="P1080" s="43" t="s">
        <v>1335</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1333</v>
      </c>
      <c r="E1081" s="39" t="s">
        <v>1334</v>
      </c>
      <c r="F1081" s="39" t="s">
        <v>336</v>
      </c>
      <c r="G1081" s="39" t="s">
        <v>360</v>
      </c>
      <c r="H1081" s="59" t="str">
        <f>Table1[[#This Row],[Tabela]]&amp;Table1[[#This Row],[Campo]]</f>
        <v>lt003_entitypst_cd</v>
      </c>
      <c r="I1081" s="2" t="s">
        <v>613</v>
      </c>
      <c r="J1081" s="45">
        <f>VLOOKUP(Table1[[#This Row],[Status]],Auxiliar!$B$16:$C$24,2,0)</f>
        <v>1</v>
      </c>
      <c r="K1081" s="45" t="s">
        <v>1247</v>
      </c>
      <c r="L1081" s="46" t="s">
        <v>1252</v>
      </c>
      <c r="M1081" s="21" t="s">
        <v>1253</v>
      </c>
      <c r="N1081" s="48">
        <v>45604</v>
      </c>
      <c r="O1081" s="21">
        <f>INDEX(Auxiliar!$D$5:$F$13,MATCH(Table1[[#This Row],[Tipologia_Testes]],Auxiliar!$B$5:$B$13,0),MATCH(Table1[[#This Row],[Complexidade]],Auxiliar!$D$4:$F$4,0))</f>
        <v>2</v>
      </c>
      <c r="P1081" s="43" t="s">
        <v>1335</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1333</v>
      </c>
      <c r="E1082" s="39" t="s">
        <v>1334</v>
      </c>
      <c r="F1082" s="39" t="s">
        <v>336</v>
      </c>
      <c r="G1082" s="39" t="s">
        <v>360</v>
      </c>
      <c r="H1082" s="59" t="str">
        <f>Table1[[#This Row],[Tabela]]&amp;Table1[[#This Row],[Campo]]</f>
        <v>lt003_entitypst_cd</v>
      </c>
      <c r="I1082" s="2" t="s">
        <v>613</v>
      </c>
      <c r="J1082" s="45">
        <f>VLOOKUP(Table1[[#This Row],[Status]],Auxiliar!$B$16:$C$24,2,0)</f>
        <v>1</v>
      </c>
      <c r="K1082" s="45" t="s">
        <v>1249</v>
      </c>
      <c r="L1082" s="46" t="s">
        <v>1252</v>
      </c>
      <c r="M1082" s="21" t="s">
        <v>1253</v>
      </c>
      <c r="N1082" s="48">
        <v>45604</v>
      </c>
      <c r="O1082" s="21">
        <f>INDEX(Auxiliar!$D$5:$F$13,MATCH(Table1[[#This Row],[Tipologia_Testes]],Auxiliar!$B$5:$B$13,0),MATCH(Table1[[#This Row],[Complexidade]],Auxiliar!$D$4:$F$4,0))</f>
        <v>0.1</v>
      </c>
      <c r="P1082" s="43" t="s">
        <v>1335</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1246</v>
      </c>
      <c r="L1083" s="46" t="s">
        <v>1252</v>
      </c>
      <c r="M1083" s="21" t="s">
        <v>1253</v>
      </c>
      <c r="N1083" s="48">
        <v>45649</v>
      </c>
      <c r="O1083" s="21">
        <f>INDEX(Auxiliar!$D$5:$F$13,MATCH(Table1[[#This Row],[Tipologia_Testes]],Auxiliar!$B$5:$B$13,0),MATCH(Table1[[#This Row],[Complexidade]],Auxiliar!$D$4:$F$4,0))</f>
        <v>2</v>
      </c>
      <c r="P1083" s="43" t="s">
        <v>1332</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1247</v>
      </c>
      <c r="L1084" s="46" t="s">
        <v>1252</v>
      </c>
      <c r="M1084" s="21" t="s">
        <v>1253</v>
      </c>
      <c r="N1084" s="48">
        <v>45649</v>
      </c>
      <c r="O1084" s="21">
        <f>INDEX(Auxiliar!$D$5:$F$13,MATCH(Table1[[#This Row],[Tipologia_Testes]],Auxiliar!$B$5:$B$13,0),MATCH(Table1[[#This Row],[Complexidade]],Auxiliar!$D$4:$F$4,0))</f>
        <v>2</v>
      </c>
      <c r="P1084" s="43" t="s">
        <v>1332</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1249</v>
      </c>
      <c r="L1085" s="46" t="s">
        <v>1252</v>
      </c>
      <c r="M1085" s="21" t="s">
        <v>1253</v>
      </c>
      <c r="N1085" s="48">
        <v>45649</v>
      </c>
      <c r="O1085" s="21">
        <f>INDEX(Auxiliar!$D$5:$F$13,MATCH(Table1[[#This Row],[Tipologia_Testes]],Auxiliar!$B$5:$B$13,0),MATCH(Table1[[#This Row],[Complexidade]],Auxiliar!$D$4:$F$4,0))</f>
        <v>0.1</v>
      </c>
      <c r="P1085" s="43" t="s">
        <v>1332</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1336</v>
      </c>
      <c r="E1086" s="111" t="s">
        <v>1337</v>
      </c>
      <c r="F1086" s="40" t="s">
        <v>336</v>
      </c>
      <c r="G1086" s="38" t="s">
        <v>362</v>
      </c>
      <c r="H1086" s="60" t="str">
        <f>Table1[[#This Row],[Tabela]]&amp;Table1[[#This Row],[Campo]]</f>
        <v>lt003_entityttl_lblty</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1338</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1336</v>
      </c>
      <c r="E1087" s="39" t="s">
        <v>1337</v>
      </c>
      <c r="F1087" s="39" t="s">
        <v>336</v>
      </c>
      <c r="G1087" s="39" t="s">
        <v>362</v>
      </c>
      <c r="H1087" s="59" t="str">
        <f>Table1[[#This Row],[Tabela]]&amp;Table1[[#This Row],[Campo]]</f>
        <v>lt003_entityttl_lblty</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1338</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1336</v>
      </c>
      <c r="E1088" s="39" t="s">
        <v>1337</v>
      </c>
      <c r="F1088" s="39" t="s">
        <v>336</v>
      </c>
      <c r="G1088" s="39" t="s">
        <v>362</v>
      </c>
      <c r="H1088" s="59" t="str">
        <f>Table1[[#This Row],[Tabela]]&amp;Table1[[#This Row],[Campo]]</f>
        <v>lt003_entityttl_lblty</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1338</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1339</v>
      </c>
      <c r="E1089" s="111" t="s">
        <v>1340</v>
      </c>
      <c r="F1089" s="40" t="s">
        <v>336</v>
      </c>
      <c r="G1089" s="38" t="s">
        <v>239</v>
      </c>
      <c r="H1089" s="60" t="str">
        <f>Table1[[#This Row],[Tabela]]&amp;Table1[[#This Row],[Campo]]</f>
        <v>lt003_entityisin</v>
      </c>
      <c r="I1089" s="2" t="s">
        <v>613</v>
      </c>
      <c r="J1089" s="45">
        <f>VLOOKUP(Table1[[#This Row],[Status]],Auxiliar!$B$16:$C$24,2,0)</f>
        <v>1</v>
      </c>
      <c r="K1089" s="45" t="s">
        <v>1246</v>
      </c>
      <c r="L1089" s="46" t="s">
        <v>1252</v>
      </c>
      <c r="M1089" s="21" t="s">
        <v>1253</v>
      </c>
      <c r="N1089" s="48">
        <v>45632</v>
      </c>
      <c r="O1089" s="21">
        <f>INDEX(Auxiliar!$D$5:$F$13,MATCH(Table1[[#This Row],[Tipologia_Testes]],Auxiliar!$B$5:$B$13,0),MATCH(Table1[[#This Row],[Complexidade]],Auxiliar!$D$4:$F$4,0))</f>
        <v>2</v>
      </c>
      <c r="P1089" s="43" t="s">
        <v>656</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1339</v>
      </c>
      <c r="E1090" s="39" t="s">
        <v>1340</v>
      </c>
      <c r="F1090" s="39" t="s">
        <v>336</v>
      </c>
      <c r="G1090" s="39" t="s">
        <v>239</v>
      </c>
      <c r="H1090" s="59" t="str">
        <f>Table1[[#This Row],[Tabela]]&amp;Table1[[#This Row],[Campo]]</f>
        <v>lt003_entityisin</v>
      </c>
      <c r="I1090" s="2" t="s">
        <v>613</v>
      </c>
      <c r="J1090" s="45">
        <f>VLOOKUP(Table1[[#This Row],[Status]],Auxiliar!$B$16:$C$24,2,0)</f>
        <v>1</v>
      </c>
      <c r="K1090" s="45" t="s">
        <v>1247</v>
      </c>
      <c r="L1090" s="46" t="s">
        <v>1252</v>
      </c>
      <c r="M1090" s="21" t="s">
        <v>1253</v>
      </c>
      <c r="N1090" s="48">
        <v>45632</v>
      </c>
      <c r="O1090" s="21">
        <f>INDEX(Auxiliar!$D$5:$F$13,MATCH(Table1[[#This Row],[Tipologia_Testes]],Auxiliar!$B$5:$B$13,0),MATCH(Table1[[#This Row],[Complexidade]],Auxiliar!$D$4:$F$4,0))</f>
        <v>2</v>
      </c>
      <c r="P1090" s="43" t="s">
        <v>656</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1339</v>
      </c>
      <c r="E1091" s="39" t="s">
        <v>1340</v>
      </c>
      <c r="F1091" s="39" t="s">
        <v>336</v>
      </c>
      <c r="G1091" s="39" t="s">
        <v>239</v>
      </c>
      <c r="H1091" s="59" t="str">
        <f>Table1[[#This Row],[Tabela]]&amp;Table1[[#This Row],[Campo]]</f>
        <v>lt003_entityisin</v>
      </c>
      <c r="I1091" s="2" t="s">
        <v>613</v>
      </c>
      <c r="J1091" s="45">
        <f>VLOOKUP(Table1[[#This Row],[Status]],Auxiliar!$B$16:$C$24,2,0)</f>
        <v>1</v>
      </c>
      <c r="K1091" s="45" t="s">
        <v>1249</v>
      </c>
      <c r="L1091" s="46" t="s">
        <v>1252</v>
      </c>
      <c r="M1091" s="21" t="s">
        <v>1253</v>
      </c>
      <c r="N1091" s="48">
        <v>45632</v>
      </c>
      <c r="O1091" s="21">
        <f>INDEX(Auxiliar!$D$5:$F$13,MATCH(Table1[[#This Row],[Tipologia_Testes]],Auxiliar!$B$5:$B$13,0),MATCH(Table1[[#This Row],[Complexidade]],Auxiliar!$D$4:$F$4,0))</f>
        <v>0.1</v>
      </c>
      <c r="P1091" s="43" t="s">
        <v>656</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1341</v>
      </c>
      <c r="E1092" s="111" t="s">
        <v>1342</v>
      </c>
      <c r="F1092" s="40" t="s">
        <v>336</v>
      </c>
      <c r="G1092" s="38" t="s">
        <v>363</v>
      </c>
      <c r="H1092" s="60" t="str">
        <f>Table1[[#This Row],[Tabela]]&amp;Table1[[#This Row],[Campo]]</f>
        <v>lt003_entitygrp_annl_trnvr_le</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1338</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1341</v>
      </c>
      <c r="E1093" s="39" t="s">
        <v>1342</v>
      </c>
      <c r="F1093" s="39" t="s">
        <v>336</v>
      </c>
      <c r="G1093" s="39" t="s">
        <v>363</v>
      </c>
      <c r="H1093" s="59" t="str">
        <f>Table1[[#This Row],[Tabela]]&amp;Table1[[#This Row],[Campo]]</f>
        <v>lt003_entitygrp_annl_trnvr_le</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1338</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1341</v>
      </c>
      <c r="E1094" s="39" t="s">
        <v>1342</v>
      </c>
      <c r="F1094" s="39" t="s">
        <v>336</v>
      </c>
      <c r="G1094" s="39" t="s">
        <v>363</v>
      </c>
      <c r="H1094" s="59" t="str">
        <f>Table1[[#This Row],[Tabela]]&amp;Table1[[#This Row],[Campo]]</f>
        <v>lt003_entitygrp_annl_trnvr_le</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1338</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1343</v>
      </c>
      <c r="E1095" s="111" t="s">
        <v>1337</v>
      </c>
      <c r="F1095" s="40" t="s">
        <v>336</v>
      </c>
      <c r="G1095" s="38" t="s">
        <v>364</v>
      </c>
      <c r="H1095" s="60" t="str">
        <f>Table1[[#This Row],[Tabela]]&amp;Table1[[#This Row],[Campo]]</f>
        <v>lt003_entitygrp_ttl_lblty</v>
      </c>
      <c r="I1095" s="2" t="s">
        <v>613</v>
      </c>
      <c r="J1095" s="45">
        <f>VLOOKUP(Table1[[#This Row],[Status]],Auxiliar!$B$16:$C$24,2,0)</f>
        <v>1</v>
      </c>
      <c r="K1095" s="45" t="s">
        <v>1246</v>
      </c>
      <c r="L1095" s="46" t="s">
        <v>1252</v>
      </c>
      <c r="M1095" s="21" t="s">
        <v>1253</v>
      </c>
      <c r="N1095" s="48">
        <v>45649</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1343</v>
      </c>
      <c r="E1096" s="39" t="s">
        <v>1337</v>
      </c>
      <c r="F1096" s="39" t="s">
        <v>336</v>
      </c>
      <c r="G1096" s="39" t="s">
        <v>364</v>
      </c>
      <c r="H1096" s="59" t="str">
        <f>Table1[[#This Row],[Tabela]]&amp;Table1[[#This Row],[Campo]]</f>
        <v>lt003_entitygrp_ttl_lblty</v>
      </c>
      <c r="I1096" s="2" t="s">
        <v>613</v>
      </c>
      <c r="J1096" s="45">
        <f>VLOOKUP(Table1[[#This Row],[Status]],Auxiliar!$B$16:$C$24,2,0)</f>
        <v>1</v>
      </c>
      <c r="K1096" s="45" t="s">
        <v>1247</v>
      </c>
      <c r="L1096" s="46" t="s">
        <v>1252</v>
      </c>
      <c r="M1096" s="21" t="s">
        <v>1253</v>
      </c>
      <c r="N1096" s="48">
        <v>45649</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1343</v>
      </c>
      <c r="E1097" s="39" t="s">
        <v>1337</v>
      </c>
      <c r="F1097" s="39" t="s">
        <v>336</v>
      </c>
      <c r="G1097" s="39" t="s">
        <v>364</v>
      </c>
      <c r="H1097" s="59" t="str">
        <f>Table1[[#This Row],[Tabela]]&amp;Table1[[#This Row],[Campo]]</f>
        <v>lt003_entitygrp_ttl_lblty</v>
      </c>
      <c r="I1097" s="2" t="s">
        <v>613</v>
      </c>
      <c r="J1097" s="45">
        <f>VLOOKUP(Table1[[#This Row],[Status]],Auxiliar!$B$16:$C$24,2,0)</f>
        <v>1</v>
      </c>
      <c r="K1097" s="45" t="s">
        <v>1249</v>
      </c>
      <c r="L1097" s="46" t="s">
        <v>1252</v>
      </c>
      <c r="M1097" s="21" t="s">
        <v>1253</v>
      </c>
      <c r="N1097" s="48">
        <v>45649</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1344</v>
      </c>
      <c r="F1098" s="40" t="s">
        <v>336</v>
      </c>
      <c r="G1098" s="38" t="s">
        <v>365</v>
      </c>
      <c r="H1098" s="60" t="str">
        <f>Table1[[#This Row],[Tabela]]&amp;Table1[[#This Row],[Campo]]</f>
        <v>lt003_entityflg_grp_nfrd_applcblty</v>
      </c>
      <c r="I1098" s="2" t="s">
        <v>613</v>
      </c>
      <c r="J1098" s="45">
        <f>VLOOKUP(Table1[[#This Row],[Status]],Auxiliar!$B$16:$C$24,2,0)</f>
        <v>1</v>
      </c>
      <c r="K1098" s="45" t="s">
        <v>1246</v>
      </c>
      <c r="L1098" s="46" t="s">
        <v>1252</v>
      </c>
      <c r="M1098" s="21" t="s">
        <v>1253</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1344</v>
      </c>
      <c r="F1099" s="39" t="s">
        <v>336</v>
      </c>
      <c r="G1099" s="39" t="s">
        <v>365</v>
      </c>
      <c r="H1099" s="59" t="str">
        <f>Table1[[#This Row],[Tabela]]&amp;Table1[[#This Row],[Campo]]</f>
        <v>lt003_entityflg_grp_nfrd_applcblty</v>
      </c>
      <c r="I1099" s="2" t="s">
        <v>613</v>
      </c>
      <c r="J1099" s="45">
        <f>VLOOKUP(Table1[[#This Row],[Status]],Auxiliar!$B$16:$C$24,2,0)</f>
        <v>1</v>
      </c>
      <c r="K1099" s="45" t="s">
        <v>1247</v>
      </c>
      <c r="L1099" s="46" t="s">
        <v>1252</v>
      </c>
      <c r="M1099" s="21" t="s">
        <v>1253</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1344</v>
      </c>
      <c r="F1100" s="39" t="s">
        <v>336</v>
      </c>
      <c r="G1100" s="39" t="s">
        <v>365</v>
      </c>
      <c r="H1100" s="59" t="str">
        <f>Table1[[#This Row],[Tabela]]&amp;Table1[[#This Row],[Campo]]</f>
        <v>lt003_entityflg_grp_nfrd_applcblty</v>
      </c>
      <c r="I1100" s="2" t="s">
        <v>613</v>
      </c>
      <c r="J1100" s="45">
        <f>VLOOKUP(Table1[[#This Row],[Status]],Auxiliar!$B$16:$C$24,2,0)</f>
        <v>1</v>
      </c>
      <c r="K1100" s="45" t="s">
        <v>1249</v>
      </c>
      <c r="L1100" s="46" t="s">
        <v>1252</v>
      </c>
      <c r="M1100" s="21" t="s">
        <v>1253</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1345</v>
      </c>
      <c r="F1101" s="40" t="s">
        <v>336</v>
      </c>
      <c r="G1101" s="38" t="s">
        <v>366</v>
      </c>
      <c r="H1101" s="60" t="str">
        <f>Table1[[#This Row],[Tabela]]&amp;Table1[[#This Row],[Campo]]</f>
        <v>lt003_entitygrp_emssns_scp1</v>
      </c>
      <c r="I1101" s="2" t="s">
        <v>1921</v>
      </c>
      <c r="J1101" s="45">
        <f>VLOOKUP(Table1[[#This Row],[Status]],Auxiliar!$B$16:$C$24,2,0)</f>
        <v>2</v>
      </c>
      <c r="K1101" s="45" t="s">
        <v>1246</v>
      </c>
      <c r="L1101" s="46" t="s">
        <v>1252</v>
      </c>
      <c r="M1101" s="21" t="s">
        <v>1253</v>
      </c>
      <c r="N1101" s="48">
        <v>45971</v>
      </c>
      <c r="O1101" s="21">
        <f>INDEX(Auxiliar!$D$5:$F$13,MATCH(Table1[[#This Row],[Tipologia_Testes]],Auxiliar!$B$5:$B$13,0),MATCH(Table1[[#This Row],[Complexidade]],Auxiliar!$D$4:$F$4,0))</f>
        <v>2</v>
      </c>
      <c r="P1101" s="43" t="s">
        <v>1346</v>
      </c>
      <c r="Q1101" s="114"/>
      <c r="R1101" s="152">
        <v>45589</v>
      </c>
      <c r="S1101" s="152"/>
      <c r="T1101" s="152">
        <v>45589</v>
      </c>
      <c r="U1101" s="152"/>
      <c r="V1101" s="152">
        <v>45644</v>
      </c>
      <c r="W1101" s="2">
        <f>VLOOKUP(Table1[[#This Row],[Status]],Auxiliar!$B$16:$D$24,3,0)*Table1[[#This Row],[Estimação (horas)]]</f>
        <v>1</v>
      </c>
      <c r="X1101" s="114"/>
    </row>
    <row r="1102" spans="2:24" ht="17.7" hidden="1" customHeight="1">
      <c r="B1102" s="39" t="s">
        <v>26</v>
      </c>
      <c r="C1102" s="39" t="s">
        <v>26</v>
      </c>
      <c r="D1102" s="39" t="s">
        <v>326</v>
      </c>
      <c r="E1102" s="39" t="s">
        <v>1345</v>
      </c>
      <c r="F1102" s="39" t="s">
        <v>336</v>
      </c>
      <c r="G1102" s="39" t="s">
        <v>366</v>
      </c>
      <c r="H1102" s="59" t="str">
        <f>Table1[[#This Row],[Tabela]]&amp;Table1[[#This Row],[Campo]]</f>
        <v>lt003_entitygrp_emssns_scp1</v>
      </c>
      <c r="I1102" s="2" t="s">
        <v>1921</v>
      </c>
      <c r="J1102" s="45">
        <f>VLOOKUP(Table1[[#This Row],[Status]],Auxiliar!$B$16:$C$24,2,0)</f>
        <v>2</v>
      </c>
      <c r="K1102" s="45" t="s">
        <v>1247</v>
      </c>
      <c r="L1102" s="46" t="s">
        <v>1252</v>
      </c>
      <c r="M1102" s="21" t="s">
        <v>1253</v>
      </c>
      <c r="N1102" s="48">
        <v>45971</v>
      </c>
      <c r="O1102" s="21">
        <f>INDEX(Auxiliar!$D$5:$F$13,MATCH(Table1[[#This Row],[Tipologia_Testes]],Auxiliar!$B$5:$B$13,0),MATCH(Table1[[#This Row],[Complexidade]],Auxiliar!$D$4:$F$4,0))</f>
        <v>2</v>
      </c>
      <c r="P1102" s="43" t="s">
        <v>1346</v>
      </c>
      <c r="Q1102" s="114"/>
      <c r="R1102" s="152">
        <v>45589</v>
      </c>
      <c r="S1102" s="152"/>
      <c r="T1102" s="152">
        <v>45589</v>
      </c>
      <c r="U1102" s="152"/>
      <c r="V1102" s="152">
        <v>45644</v>
      </c>
      <c r="W1102" s="2">
        <f>VLOOKUP(Table1[[#This Row],[Status]],Auxiliar!$B$16:$D$24,3,0)*Table1[[#This Row],[Estimação (horas)]]</f>
        <v>1</v>
      </c>
      <c r="X1102" s="114"/>
    </row>
    <row r="1103" spans="2:24" ht="17.7" hidden="1" customHeight="1">
      <c r="B1103" s="39" t="s">
        <v>26</v>
      </c>
      <c r="C1103" s="39" t="s">
        <v>26</v>
      </c>
      <c r="D1103" s="39" t="s">
        <v>326</v>
      </c>
      <c r="E1103" s="39" t="s">
        <v>1345</v>
      </c>
      <c r="F1103" s="39" t="s">
        <v>336</v>
      </c>
      <c r="G1103" s="39" t="s">
        <v>366</v>
      </c>
      <c r="H1103" s="59" t="str">
        <f>Table1[[#This Row],[Tabela]]&amp;Table1[[#This Row],[Campo]]</f>
        <v>lt003_entitygrp_emssns_scp1</v>
      </c>
      <c r="I1103" s="2" t="s">
        <v>1921</v>
      </c>
      <c r="J1103" s="45">
        <f>VLOOKUP(Table1[[#This Row],[Status]],Auxiliar!$B$16:$C$24,2,0)</f>
        <v>2</v>
      </c>
      <c r="K1103" s="45" t="s">
        <v>1249</v>
      </c>
      <c r="L1103" s="46" t="s">
        <v>1252</v>
      </c>
      <c r="M1103" s="21" t="s">
        <v>1253</v>
      </c>
      <c r="N1103" s="48">
        <v>45971</v>
      </c>
      <c r="O1103" s="21">
        <f>INDEX(Auxiliar!$D$5:$F$13,MATCH(Table1[[#This Row],[Tipologia_Testes]],Auxiliar!$B$5:$B$13,0),MATCH(Table1[[#This Row],[Complexidade]],Auxiliar!$D$4:$F$4,0))</f>
        <v>0.1</v>
      </c>
      <c r="P1103" s="43" t="s">
        <v>1346</v>
      </c>
      <c r="Q1103" s="114"/>
      <c r="R1103" s="152">
        <v>45589</v>
      </c>
      <c r="S1103" s="152"/>
      <c r="T1103" s="152">
        <v>45589</v>
      </c>
      <c r="U1103" s="152"/>
      <c r="V1103" s="152">
        <v>45644</v>
      </c>
      <c r="W1103" s="2">
        <f>VLOOKUP(Table1[[#This Row],[Status]],Auxiliar!$B$16:$D$24,3,0)*Table1[[#This Row],[Estimação (horas)]]</f>
        <v>0.05</v>
      </c>
      <c r="X1103" s="114"/>
    </row>
    <row r="1104" spans="2:24" ht="34.950000000000003" hidden="1" customHeight="1">
      <c r="B1104" s="41" t="s">
        <v>26</v>
      </c>
      <c r="C1104" s="41" t="s">
        <v>26</v>
      </c>
      <c r="D1104" s="36" t="s">
        <v>326</v>
      </c>
      <c r="E1104" s="111" t="s">
        <v>1347</v>
      </c>
      <c r="F1104" s="40" t="s">
        <v>336</v>
      </c>
      <c r="G1104" s="38" t="s">
        <v>367</v>
      </c>
      <c r="H1104" s="60" t="str">
        <f>Table1[[#This Row],[Tabela]]&amp;Table1[[#This Row],[Campo]]</f>
        <v>lt003_entitygrp_emssns_scp2</v>
      </c>
      <c r="I1104" s="2" t="s">
        <v>1921</v>
      </c>
      <c r="J1104" s="45">
        <f>VLOOKUP(Table1[[#This Row],[Status]],Auxiliar!$B$16:$C$24,2,0)</f>
        <v>2</v>
      </c>
      <c r="K1104" s="45" t="s">
        <v>1246</v>
      </c>
      <c r="L1104" s="46" t="s">
        <v>1252</v>
      </c>
      <c r="M1104" s="21" t="s">
        <v>1253</v>
      </c>
      <c r="N1104" s="48">
        <v>45971</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1</v>
      </c>
      <c r="X1104" s="114"/>
    </row>
    <row r="1105" spans="2:24" ht="17.7" hidden="1" customHeight="1">
      <c r="B1105" s="39" t="s">
        <v>26</v>
      </c>
      <c r="C1105" s="39" t="s">
        <v>26</v>
      </c>
      <c r="D1105" s="39" t="s">
        <v>326</v>
      </c>
      <c r="E1105" s="39" t="s">
        <v>1347</v>
      </c>
      <c r="F1105" s="39" t="s">
        <v>336</v>
      </c>
      <c r="G1105" s="39" t="s">
        <v>367</v>
      </c>
      <c r="H1105" s="59" t="str">
        <f>Table1[[#This Row],[Tabela]]&amp;Table1[[#This Row],[Campo]]</f>
        <v>lt003_entitygrp_emssns_scp2</v>
      </c>
      <c r="I1105" s="2" t="s">
        <v>1921</v>
      </c>
      <c r="J1105" s="45">
        <f>VLOOKUP(Table1[[#This Row],[Status]],Auxiliar!$B$16:$C$24,2,0)</f>
        <v>2</v>
      </c>
      <c r="K1105" s="45" t="s">
        <v>1247</v>
      </c>
      <c r="L1105" s="46" t="s">
        <v>1252</v>
      </c>
      <c r="M1105" s="21" t="s">
        <v>1253</v>
      </c>
      <c r="N1105" s="48">
        <v>45971</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1</v>
      </c>
      <c r="X1105" s="114"/>
    </row>
    <row r="1106" spans="2:24" ht="17.7" hidden="1" customHeight="1">
      <c r="B1106" s="39" t="s">
        <v>26</v>
      </c>
      <c r="C1106" s="39" t="s">
        <v>26</v>
      </c>
      <c r="D1106" s="39" t="s">
        <v>326</v>
      </c>
      <c r="E1106" s="39" t="s">
        <v>1347</v>
      </c>
      <c r="F1106" s="39" t="s">
        <v>336</v>
      </c>
      <c r="G1106" s="39" t="s">
        <v>367</v>
      </c>
      <c r="H1106" s="59" t="str">
        <f>Table1[[#This Row],[Tabela]]&amp;Table1[[#This Row],[Campo]]</f>
        <v>lt003_entitygrp_emssns_scp2</v>
      </c>
      <c r="I1106" s="2" t="s">
        <v>1921</v>
      </c>
      <c r="J1106" s="45">
        <f>VLOOKUP(Table1[[#This Row],[Status]],Auxiliar!$B$16:$C$24,2,0)</f>
        <v>2</v>
      </c>
      <c r="K1106" s="45" t="s">
        <v>1249</v>
      </c>
      <c r="L1106" s="46" t="s">
        <v>1252</v>
      </c>
      <c r="M1106" s="21" t="s">
        <v>1253</v>
      </c>
      <c r="N1106" s="48">
        <v>45971</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0.05</v>
      </c>
      <c r="X1106" s="114"/>
    </row>
    <row r="1107" spans="2:24" ht="34.950000000000003" hidden="1" customHeight="1">
      <c r="B1107" s="41" t="s">
        <v>26</v>
      </c>
      <c r="C1107" s="41" t="s">
        <v>26</v>
      </c>
      <c r="D1107" s="36" t="s">
        <v>326</v>
      </c>
      <c r="E1107" s="111" t="s">
        <v>1348</v>
      </c>
      <c r="F1107" s="40" t="s">
        <v>336</v>
      </c>
      <c r="G1107" s="38" t="s">
        <v>368</v>
      </c>
      <c r="H1107" s="60" t="str">
        <f>Table1[[#This Row],[Tabela]]&amp;Table1[[#This Row],[Campo]]</f>
        <v>lt003_entitygrp_emssns_scp3</v>
      </c>
      <c r="I1107" s="2" t="s">
        <v>1921</v>
      </c>
      <c r="J1107" s="45">
        <f>VLOOKUP(Table1[[#This Row],[Status]],Auxiliar!$B$16:$C$24,2,0)</f>
        <v>2</v>
      </c>
      <c r="K1107" s="45" t="s">
        <v>1246</v>
      </c>
      <c r="L1107" s="46" t="s">
        <v>1252</v>
      </c>
      <c r="M1107" s="21" t="s">
        <v>1253</v>
      </c>
      <c r="N1107" s="48">
        <v>45971</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1</v>
      </c>
      <c r="X1107" s="114"/>
    </row>
    <row r="1108" spans="2:24" ht="17.7" hidden="1" customHeight="1">
      <c r="B1108" s="39" t="s">
        <v>26</v>
      </c>
      <c r="C1108" s="39" t="s">
        <v>26</v>
      </c>
      <c r="D1108" s="39" t="s">
        <v>326</v>
      </c>
      <c r="E1108" s="39" t="s">
        <v>1348</v>
      </c>
      <c r="F1108" s="39" t="s">
        <v>336</v>
      </c>
      <c r="G1108" s="39" t="s">
        <v>368</v>
      </c>
      <c r="H1108" s="59" t="str">
        <f>Table1[[#This Row],[Tabela]]&amp;Table1[[#This Row],[Campo]]</f>
        <v>lt003_entitygrp_emssns_scp3</v>
      </c>
      <c r="I1108" s="2" t="s">
        <v>1921</v>
      </c>
      <c r="J1108" s="45">
        <f>VLOOKUP(Table1[[#This Row],[Status]],Auxiliar!$B$16:$C$24,2,0)</f>
        <v>2</v>
      </c>
      <c r="K1108" s="45" t="s">
        <v>1247</v>
      </c>
      <c r="L1108" s="46" t="s">
        <v>1252</v>
      </c>
      <c r="M1108" s="21" t="s">
        <v>1253</v>
      </c>
      <c r="N1108" s="48">
        <v>45971</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1</v>
      </c>
      <c r="X1108" s="114"/>
    </row>
    <row r="1109" spans="2:24" ht="17.7" hidden="1" customHeight="1">
      <c r="B1109" s="39" t="s">
        <v>26</v>
      </c>
      <c r="C1109" s="39" t="s">
        <v>26</v>
      </c>
      <c r="D1109" s="39" t="s">
        <v>326</v>
      </c>
      <c r="E1109" s="39" t="s">
        <v>1348</v>
      </c>
      <c r="F1109" s="39" t="s">
        <v>336</v>
      </c>
      <c r="G1109" s="39" t="s">
        <v>368</v>
      </c>
      <c r="H1109" s="59" t="str">
        <f>Table1[[#This Row],[Tabela]]&amp;Table1[[#This Row],[Campo]]</f>
        <v>lt003_entitygrp_emssns_scp3</v>
      </c>
      <c r="I1109" s="2" t="s">
        <v>1921</v>
      </c>
      <c r="J1109" s="45">
        <f>VLOOKUP(Table1[[#This Row],[Status]],Auxiliar!$B$16:$C$24,2,0)</f>
        <v>2</v>
      </c>
      <c r="K1109" s="45" t="s">
        <v>1249</v>
      </c>
      <c r="L1109" s="46" t="s">
        <v>1252</v>
      </c>
      <c r="M1109" s="21" t="s">
        <v>1253</v>
      </c>
      <c r="N1109" s="48">
        <v>45971</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0.05</v>
      </c>
      <c r="X1109" s="114"/>
    </row>
    <row r="1110" spans="2:24" ht="17.7" hidden="1" customHeight="1">
      <c r="B1110" s="41" t="s">
        <v>26</v>
      </c>
      <c r="C1110" s="41" t="s">
        <v>26</v>
      </c>
      <c r="D1110" s="37" t="s">
        <v>1349</v>
      </c>
      <c r="E1110" s="42" t="s">
        <v>1331</v>
      </c>
      <c r="F1110" s="40" t="s">
        <v>369</v>
      </c>
      <c r="G1110" s="38" t="s">
        <v>370</v>
      </c>
      <c r="H1110" s="60" t="str">
        <f>Table1[[#This Row],[Tabela]]&amp;Table1[[#This Row],[Campo]]</f>
        <v>lt004_protectiontyp_ep_scr</v>
      </c>
      <c r="I1110" s="2" t="s">
        <v>613</v>
      </c>
      <c r="J1110" s="45">
        <f>VLOOKUP(Table1[[#This Row],[Status]],Auxiliar!$B$16:$C$24,2,0)</f>
        <v>1</v>
      </c>
      <c r="K1110" s="45" t="s">
        <v>1246</v>
      </c>
      <c r="L1110" s="46" t="s">
        <v>1252</v>
      </c>
      <c r="M1110" s="21" t="s">
        <v>1253</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1349</v>
      </c>
      <c r="E1111" s="39" t="s">
        <v>1331</v>
      </c>
      <c r="F1111" s="39" t="s">
        <v>369</v>
      </c>
      <c r="G1111" s="39" t="s">
        <v>370</v>
      </c>
      <c r="H1111" s="59" t="str">
        <f>Table1[[#This Row],[Tabela]]&amp;Table1[[#This Row],[Campo]]</f>
        <v>lt004_protectiontyp_ep_scr</v>
      </c>
      <c r="I1111" s="2" t="s">
        <v>613</v>
      </c>
      <c r="J1111" s="45">
        <f>VLOOKUP(Table1[[#This Row],[Status]],Auxiliar!$B$16:$C$24,2,0)</f>
        <v>1</v>
      </c>
      <c r="K1111" s="45" t="s">
        <v>1247</v>
      </c>
      <c r="L1111" s="46" t="s">
        <v>1252</v>
      </c>
      <c r="M1111" s="21" t="s">
        <v>1253</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1349</v>
      </c>
      <c r="E1112" s="39" t="s">
        <v>1331</v>
      </c>
      <c r="F1112" s="39" t="s">
        <v>369</v>
      </c>
      <c r="G1112" s="39" t="s">
        <v>370</v>
      </c>
      <c r="H1112" s="59" t="str">
        <f>Table1[[#This Row],[Tabela]]&amp;Table1[[#This Row],[Campo]]</f>
        <v>lt004_protectiontyp_ep_scr</v>
      </c>
      <c r="I1112" s="2" t="s">
        <v>613</v>
      </c>
      <c r="J1112" s="45">
        <f>VLOOKUP(Table1[[#This Row],[Status]],Auxiliar!$B$16:$C$24,2,0)</f>
        <v>1</v>
      </c>
      <c r="K1112" s="45" t="s">
        <v>1249</v>
      </c>
      <c r="L1112" s="46" t="s">
        <v>1252</v>
      </c>
      <c r="M1112" s="21" t="s">
        <v>1253</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hidden="1" customHeight="1">
      <c r="B1113" s="41" t="s">
        <v>26</v>
      </c>
      <c r="C1113" s="41" t="s">
        <v>26</v>
      </c>
      <c r="D1113" s="37" t="s">
        <v>1349</v>
      </c>
      <c r="E1113" s="42" t="s">
        <v>1331</v>
      </c>
      <c r="F1113" s="40" t="s">
        <v>369</v>
      </c>
      <c r="G1113" s="38" t="s">
        <v>371</v>
      </c>
      <c r="H1113" s="60" t="str">
        <f>Table1[[#This Row],[Tabela]]&amp;Table1[[#This Row],[Campo]]</f>
        <v>lt004_protectionep_scr</v>
      </c>
      <c r="I1113" s="2" t="s">
        <v>613</v>
      </c>
      <c r="J1113" s="45">
        <f>VLOOKUP(Table1[[#This Row],[Status]],Auxiliar!$B$16:$C$24,2,0)</f>
        <v>1</v>
      </c>
      <c r="K1113" s="45" t="s">
        <v>1246</v>
      </c>
      <c r="L1113" s="46" t="s">
        <v>1252</v>
      </c>
      <c r="M1113" s="21" t="s">
        <v>1253</v>
      </c>
      <c r="N1113" s="48">
        <v>45667</v>
      </c>
      <c r="O1113" s="21">
        <f>INDEX(Auxiliar!$D$5:$F$13,MATCH(Table1[[#This Row],[Tipologia_Testes]],Auxiliar!$B$5:$B$13,0),MATCH(Table1[[#This Row],[Complexidade]],Auxiliar!$D$4:$F$4,0))</f>
        <v>2</v>
      </c>
      <c r="P1113" s="43" t="s">
        <v>1350</v>
      </c>
      <c r="Q1113" s="152"/>
      <c r="R1113" s="152">
        <v>45583</v>
      </c>
      <c r="S1113" s="152"/>
      <c r="T1113" s="152">
        <v>45583</v>
      </c>
      <c r="U1113" s="152">
        <v>45596</v>
      </c>
      <c r="V1113" s="152">
        <v>45596</v>
      </c>
      <c r="W1113" s="2">
        <f>VLOOKUP(Table1[[#This Row],[Status]],Auxiliar!$B$16:$D$24,3,0)*Table1[[#This Row],[Estimação (horas)]]</f>
        <v>2</v>
      </c>
      <c r="X1113" s="114"/>
    </row>
    <row r="1114" spans="2:24" ht="17.7" hidden="1" customHeight="1">
      <c r="B1114" s="39" t="s">
        <v>26</v>
      </c>
      <c r="C1114" s="39" t="s">
        <v>26</v>
      </c>
      <c r="D1114" s="39" t="s">
        <v>1349</v>
      </c>
      <c r="E1114" s="39" t="s">
        <v>1331</v>
      </c>
      <c r="F1114" s="39" t="s">
        <v>369</v>
      </c>
      <c r="G1114" s="39" t="s">
        <v>371</v>
      </c>
      <c r="H1114" s="59" t="str">
        <f>Table1[[#This Row],[Tabela]]&amp;Table1[[#This Row],[Campo]]</f>
        <v>lt004_protectionep_scr</v>
      </c>
      <c r="I1114" s="2" t="s">
        <v>613</v>
      </c>
      <c r="J1114" s="45">
        <f>VLOOKUP(Table1[[#This Row],[Status]],Auxiliar!$B$16:$C$24,2,0)</f>
        <v>1</v>
      </c>
      <c r="K1114" s="45" t="s">
        <v>1247</v>
      </c>
      <c r="L1114" s="46" t="s">
        <v>1252</v>
      </c>
      <c r="M1114" s="21" t="s">
        <v>1253</v>
      </c>
      <c r="N1114" s="48">
        <v>45667</v>
      </c>
      <c r="O1114" s="21">
        <f>INDEX(Auxiliar!$D$5:$F$13,MATCH(Table1[[#This Row],[Tipologia_Testes]],Auxiliar!$B$5:$B$13,0),MATCH(Table1[[#This Row],[Complexidade]],Auxiliar!$D$4:$F$4,0))</f>
        <v>2</v>
      </c>
      <c r="P1114" s="43" t="s">
        <v>1350</v>
      </c>
      <c r="Q1114" s="152"/>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371</v>
      </c>
      <c r="H1115" s="59" t="str">
        <f>Table1[[#This Row],[Tabela]]&amp;Table1[[#This Row],[Campo]]</f>
        <v>lt004_protectionep_scr</v>
      </c>
      <c r="I1115" s="2" t="s">
        <v>613</v>
      </c>
      <c r="J1115" s="45">
        <f>VLOOKUP(Table1[[#This Row],[Status]],Auxiliar!$B$16:$C$24,2,0)</f>
        <v>1</v>
      </c>
      <c r="K1115" s="45" t="s">
        <v>1249</v>
      </c>
      <c r="L1115" s="46" t="s">
        <v>1252</v>
      </c>
      <c r="M1115" s="21" t="s">
        <v>1253</v>
      </c>
      <c r="N1115" s="48">
        <v>45667</v>
      </c>
      <c r="O1115" s="21">
        <f>INDEX(Auxiliar!$D$5:$F$13,MATCH(Table1[[#This Row],[Tipologia_Testes]],Auxiliar!$B$5:$B$13,0),MATCH(Table1[[#This Row],[Complexidade]],Auxiliar!$D$4:$F$4,0))</f>
        <v>0.1</v>
      </c>
      <c r="P1115" s="43" t="s">
        <v>1350</v>
      </c>
      <c r="Q1115" s="152"/>
      <c r="R1115" s="152">
        <v>45583</v>
      </c>
      <c r="S1115" s="152"/>
      <c r="T1115" s="152">
        <v>45583</v>
      </c>
      <c r="U1115" s="152">
        <v>45596</v>
      </c>
      <c r="V1115" s="152">
        <v>45596</v>
      </c>
      <c r="W1115" s="2">
        <f>VLOOKUP(Table1[[#This Row],[Status]],Auxiliar!$B$16:$D$24,3,0)*Table1[[#This Row],[Estimação (horas)]]</f>
        <v>0.1</v>
      </c>
      <c r="X1115" s="114"/>
    </row>
    <row r="1116" spans="2:24" ht="17.7" hidden="1" customHeight="1">
      <c r="B1116" s="41" t="s">
        <v>26</v>
      </c>
      <c r="C1116" s="41" t="s">
        <v>26</v>
      </c>
      <c r="D1116" s="37" t="s">
        <v>1349</v>
      </c>
      <c r="E1116" s="42" t="s">
        <v>1331</v>
      </c>
      <c r="F1116" s="40" t="s">
        <v>369</v>
      </c>
      <c r="G1116" s="38" t="s">
        <v>372</v>
      </c>
      <c r="H1116" s="60" t="str">
        <f>Table1[[#This Row],[Tabela]]&amp;Table1[[#This Row],[Campo]]</f>
        <v>lt004_protectiontyp_epc_lbl</v>
      </c>
      <c r="I1116" s="2" t="s">
        <v>613</v>
      </c>
      <c r="J1116" s="45">
        <f>VLOOKUP(Table1[[#This Row],[Status]],Auxiliar!$B$16:$C$24,2,0)</f>
        <v>1</v>
      </c>
      <c r="K1116" s="45" t="s">
        <v>1246</v>
      </c>
      <c r="L1116" s="46" t="s">
        <v>1252</v>
      </c>
      <c r="M1116" s="21" t="s">
        <v>1253</v>
      </c>
      <c r="N1116" s="48">
        <v>45642</v>
      </c>
      <c r="O1116" s="21">
        <f>INDEX(Auxiliar!$D$5:$F$13,MATCH(Table1[[#This Row],[Tipologia_Testes]],Auxiliar!$B$5:$B$13,0),MATCH(Table1[[#This Row],[Complexidade]],Auxiliar!$D$4:$F$4,0))</f>
        <v>2</v>
      </c>
      <c r="P1116" s="43" t="s">
        <v>1350</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1349</v>
      </c>
      <c r="E1117" s="39" t="s">
        <v>1331</v>
      </c>
      <c r="F1117" s="39" t="s">
        <v>369</v>
      </c>
      <c r="G1117" s="39" t="s">
        <v>372</v>
      </c>
      <c r="H1117" s="59" t="str">
        <f>Table1[[#This Row],[Tabela]]&amp;Table1[[#This Row],[Campo]]</f>
        <v>lt004_protectiontyp_epc_lbl</v>
      </c>
      <c r="I1117" s="2" t="s">
        <v>613</v>
      </c>
      <c r="J1117" s="45">
        <f>VLOOKUP(Table1[[#This Row],[Status]],Auxiliar!$B$16:$C$24,2,0)</f>
        <v>1</v>
      </c>
      <c r="K1117" s="45" t="s">
        <v>1247</v>
      </c>
      <c r="L1117" s="46" t="s">
        <v>1252</v>
      </c>
      <c r="M1117" s="21" t="s">
        <v>1253</v>
      </c>
      <c r="N1117" s="48">
        <v>45642</v>
      </c>
      <c r="O1117" s="21">
        <f>INDEX(Auxiliar!$D$5:$F$13,MATCH(Table1[[#This Row],[Tipologia_Testes]],Auxiliar!$B$5:$B$13,0),MATCH(Table1[[#This Row],[Complexidade]],Auxiliar!$D$4:$F$4,0))</f>
        <v>2</v>
      </c>
      <c r="P1117" s="43" t="s">
        <v>1350</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372</v>
      </c>
      <c r="H1118" s="59" t="str">
        <f>Table1[[#This Row],[Tabela]]&amp;Table1[[#This Row],[Campo]]</f>
        <v>lt004_protectiontyp_epc_lbl</v>
      </c>
      <c r="I1118" s="2" t="s">
        <v>613</v>
      </c>
      <c r="J1118" s="45">
        <f>VLOOKUP(Table1[[#This Row],[Status]],Auxiliar!$B$16:$C$24,2,0)</f>
        <v>1</v>
      </c>
      <c r="K1118" s="45" t="s">
        <v>1249</v>
      </c>
      <c r="L1118" s="46" t="s">
        <v>1252</v>
      </c>
      <c r="M1118" s="21" t="s">
        <v>1253</v>
      </c>
      <c r="N1118" s="48">
        <v>45642</v>
      </c>
      <c r="O1118" s="21">
        <f>INDEX(Auxiliar!$D$5:$F$13,MATCH(Table1[[#This Row],[Tipologia_Testes]],Auxiliar!$B$5:$B$13,0),MATCH(Table1[[#This Row],[Complexidade]],Auxiliar!$D$4:$F$4,0))</f>
        <v>0.1</v>
      </c>
      <c r="P1118" s="43" t="s">
        <v>1350</v>
      </c>
      <c r="Q1118" s="114"/>
      <c r="R1118" s="152">
        <v>45583</v>
      </c>
      <c r="S1118" s="152"/>
      <c r="T1118" s="152">
        <v>45583</v>
      </c>
      <c r="U1118" s="152">
        <v>45596</v>
      </c>
      <c r="V1118" s="152">
        <v>45596</v>
      </c>
      <c r="W1118" s="2">
        <f>VLOOKUP(Table1[[#This Row],[Status]],Auxiliar!$B$16:$D$24,3,0)*Table1[[#This Row],[Estimação (horas)]]</f>
        <v>0.1</v>
      </c>
      <c r="X1118" s="114"/>
    </row>
    <row r="1119" spans="2:24" ht="17.7" hidden="1" customHeight="1">
      <c r="B1119" s="41" t="s">
        <v>26</v>
      </c>
      <c r="C1119" s="41" t="s">
        <v>26</v>
      </c>
      <c r="D1119" s="37" t="s">
        <v>1349</v>
      </c>
      <c r="E1119" s="42" t="s">
        <v>1331</v>
      </c>
      <c r="F1119" s="40" t="s">
        <v>369</v>
      </c>
      <c r="G1119" s="38" t="s">
        <v>373</v>
      </c>
      <c r="H1119" s="60" t="str">
        <f>Table1[[#This Row],[Tabela]]&amp;Table1[[#This Row],[Campo]]</f>
        <v>lt004_protectionepc_lbl</v>
      </c>
      <c r="I1119" s="2" t="s">
        <v>613</v>
      </c>
      <c r="J1119" s="45">
        <f>VLOOKUP(Table1[[#This Row],[Status]],Auxiliar!$B$16:$C$24,2,0)</f>
        <v>1</v>
      </c>
      <c r="K1119" s="45" t="s">
        <v>1246</v>
      </c>
      <c r="L1119" s="46" t="s">
        <v>1252</v>
      </c>
      <c r="M1119" s="21" t="s">
        <v>1253</v>
      </c>
      <c r="N1119" s="48">
        <v>45667</v>
      </c>
      <c r="O1119" s="21">
        <f>INDEX(Auxiliar!$D$5:$F$13,MATCH(Table1[[#This Row],[Tipologia_Testes]],Auxiliar!$B$5:$B$13,0),MATCH(Table1[[#This Row],[Complexidade]],Auxiliar!$D$4:$F$4,0))</f>
        <v>2</v>
      </c>
      <c r="P1119" s="43" t="s">
        <v>1350</v>
      </c>
      <c r="Q1119" s="114"/>
      <c r="R1119" s="152">
        <v>45583</v>
      </c>
      <c r="S1119" s="152"/>
      <c r="T1119" s="152">
        <v>45583</v>
      </c>
      <c r="U1119" s="152">
        <v>45596</v>
      </c>
      <c r="V1119" s="152">
        <v>45596</v>
      </c>
      <c r="W1119" s="2">
        <f>VLOOKUP(Table1[[#This Row],[Status]],Auxiliar!$B$16:$D$24,3,0)*Table1[[#This Row],[Estimação (horas)]]</f>
        <v>2</v>
      </c>
      <c r="X1119" s="114"/>
    </row>
    <row r="1120" spans="2:24" ht="17.7" hidden="1" customHeight="1">
      <c r="B1120" s="39" t="s">
        <v>26</v>
      </c>
      <c r="C1120" s="39" t="s">
        <v>26</v>
      </c>
      <c r="D1120" s="39" t="s">
        <v>1349</v>
      </c>
      <c r="E1120" s="39" t="s">
        <v>1331</v>
      </c>
      <c r="F1120" s="39" t="s">
        <v>369</v>
      </c>
      <c r="G1120" s="39" t="s">
        <v>373</v>
      </c>
      <c r="H1120" s="59" t="str">
        <f>Table1[[#This Row],[Tabela]]&amp;Table1[[#This Row],[Campo]]</f>
        <v>lt004_protectionepc_lbl</v>
      </c>
      <c r="I1120" s="2" t="s">
        <v>613</v>
      </c>
      <c r="J1120" s="45">
        <f>VLOOKUP(Table1[[#This Row],[Status]],Auxiliar!$B$16:$C$24,2,0)</f>
        <v>1</v>
      </c>
      <c r="K1120" s="45" t="s">
        <v>1247</v>
      </c>
      <c r="L1120" s="46" t="s">
        <v>1252</v>
      </c>
      <c r="M1120" s="21" t="s">
        <v>1253</v>
      </c>
      <c r="N1120" s="48">
        <v>45667</v>
      </c>
      <c r="O1120" s="21">
        <f>INDEX(Auxiliar!$D$5:$F$13,MATCH(Table1[[#This Row],[Tipologia_Testes]],Auxiliar!$B$5:$B$13,0),MATCH(Table1[[#This Row],[Complexidade]],Auxiliar!$D$4:$F$4,0))</f>
        <v>2</v>
      </c>
      <c r="P1120" s="43" t="s">
        <v>1350</v>
      </c>
      <c r="Q1120" s="114"/>
      <c r="R1120" s="152">
        <v>45583</v>
      </c>
      <c r="S1120" s="152"/>
      <c r="T1120" s="152">
        <v>45583</v>
      </c>
      <c r="U1120" s="152">
        <v>45596</v>
      </c>
      <c r="V1120" s="152">
        <v>45596</v>
      </c>
      <c r="W1120" s="2">
        <f>VLOOKUP(Table1[[#This Row],[Status]],Auxiliar!$B$16:$D$24,3,0)*Table1[[#This Row],[Estimação (horas)]]</f>
        <v>2</v>
      </c>
      <c r="X1120" s="114"/>
    </row>
    <row r="1121" spans="2:24" ht="17.7" hidden="1" customHeight="1">
      <c r="B1121" s="39" t="s">
        <v>26</v>
      </c>
      <c r="C1121" s="39" t="s">
        <v>26</v>
      </c>
      <c r="D1121" s="39" t="s">
        <v>1349</v>
      </c>
      <c r="E1121" s="39" t="s">
        <v>1331</v>
      </c>
      <c r="F1121" s="39" t="s">
        <v>369</v>
      </c>
      <c r="G1121" s="39" t="s">
        <v>373</v>
      </c>
      <c r="H1121" s="59" t="str">
        <f>Table1[[#This Row],[Tabela]]&amp;Table1[[#This Row],[Campo]]</f>
        <v>lt004_protectionepc_lbl</v>
      </c>
      <c r="I1121" s="2" t="s">
        <v>613</v>
      </c>
      <c r="J1121" s="45">
        <f>VLOOKUP(Table1[[#This Row],[Status]],Auxiliar!$B$16:$C$24,2,0)</f>
        <v>1</v>
      </c>
      <c r="K1121" s="45" t="s">
        <v>1249</v>
      </c>
      <c r="L1121" s="46" t="s">
        <v>1252</v>
      </c>
      <c r="M1121" s="21" t="s">
        <v>1253</v>
      </c>
      <c r="N1121" s="48">
        <v>45667</v>
      </c>
      <c r="O1121" s="21">
        <f>INDEX(Auxiliar!$D$5:$F$13,MATCH(Table1[[#This Row],[Tipologia_Testes]],Auxiliar!$B$5:$B$13,0),MATCH(Table1[[#This Row],[Complexidade]],Auxiliar!$D$4:$F$4,0))</f>
        <v>0.1</v>
      </c>
      <c r="P1121" s="43" t="s">
        <v>1350</v>
      </c>
      <c r="Q1121" s="114"/>
      <c r="R1121" s="152">
        <v>45583</v>
      </c>
      <c r="S1121" s="152"/>
      <c r="T1121" s="152">
        <v>45583</v>
      </c>
      <c r="U1121" s="152">
        <v>45596</v>
      </c>
      <c r="V1121" s="152">
        <v>45596</v>
      </c>
      <c r="W1121" s="2">
        <f>VLOOKUP(Table1[[#This Row],[Status]],Auxiliar!$B$16:$D$24,3,0)*Table1[[#This Row],[Estimação (horas)]]</f>
        <v>0.1</v>
      </c>
      <c r="X1121" s="114"/>
    </row>
    <row r="1122" spans="2:24" ht="52.2" hidden="1" customHeight="1">
      <c r="B1122" s="41" t="s">
        <v>26</v>
      </c>
      <c r="C1122" s="41" t="s">
        <v>26</v>
      </c>
      <c r="D1122" s="36" t="s">
        <v>1351</v>
      </c>
      <c r="E1122" s="40" t="s">
        <v>1352</v>
      </c>
      <c r="F1122" s="40" t="s">
        <v>369</v>
      </c>
      <c r="G1122" s="38" t="s">
        <v>374</v>
      </c>
      <c r="H1122" s="60" t="str">
        <f>Table1[[#This Row],[Tabela]]&amp;Table1[[#This Row],[Campo]]</f>
        <v>lt004_protectionemssns_scp1_prtctn</v>
      </c>
      <c r="I1122" s="2" t="s">
        <v>613</v>
      </c>
      <c r="J1122" s="45">
        <f>VLOOKUP(Table1[[#This Row],[Status]],Auxiliar!$B$16:$C$24,2,0)</f>
        <v>1</v>
      </c>
      <c r="K1122" s="45" t="s">
        <v>1246</v>
      </c>
      <c r="L1122" s="46" t="s">
        <v>1252</v>
      </c>
      <c r="M1122" s="21" t="s">
        <v>1253</v>
      </c>
      <c r="N1122" s="48">
        <v>45667</v>
      </c>
      <c r="O1122" s="21">
        <f>INDEX(Auxiliar!$D$5:$F$13,MATCH(Table1[[#This Row],[Tipologia_Testes]],Auxiliar!$B$5:$B$13,0),MATCH(Table1[[#This Row],[Complexidade]],Auxiliar!$D$4:$F$4,0))</f>
        <v>2</v>
      </c>
      <c r="P1122" s="43" t="s">
        <v>1338</v>
      </c>
      <c r="Q1122" s="114"/>
      <c r="R1122" s="152">
        <v>45622</v>
      </c>
      <c r="S1122" s="152"/>
      <c r="T1122" s="152"/>
      <c r="U1122" s="152">
        <v>45631</v>
      </c>
      <c r="V1122" s="152">
        <v>45631</v>
      </c>
      <c r="W1122" s="2">
        <f>VLOOKUP(Table1[[#This Row],[Status]],Auxiliar!$B$16:$D$24,3,0)*Table1[[#This Row],[Estimação (horas)]]</f>
        <v>2</v>
      </c>
      <c r="X1122" s="114"/>
    </row>
    <row r="1123" spans="2:24" ht="17.7" hidden="1" customHeight="1">
      <c r="B1123" s="39" t="s">
        <v>26</v>
      </c>
      <c r="C1123" s="39" t="s">
        <v>26</v>
      </c>
      <c r="D1123" s="39" t="s">
        <v>1351</v>
      </c>
      <c r="E1123" s="39" t="s">
        <v>1352</v>
      </c>
      <c r="F1123" s="39" t="s">
        <v>369</v>
      </c>
      <c r="G1123" s="39" t="s">
        <v>374</v>
      </c>
      <c r="H1123" s="59" t="str">
        <f>Table1[[#This Row],[Tabela]]&amp;Table1[[#This Row],[Campo]]</f>
        <v>lt004_protectionemssns_scp1_prtctn</v>
      </c>
      <c r="I1123" s="2" t="s">
        <v>613</v>
      </c>
      <c r="J1123" s="45">
        <f>VLOOKUP(Table1[[#This Row],[Status]],Auxiliar!$B$16:$C$24,2,0)</f>
        <v>1</v>
      </c>
      <c r="K1123" s="45" t="s">
        <v>1247</v>
      </c>
      <c r="L1123" s="46" t="s">
        <v>1252</v>
      </c>
      <c r="M1123" s="21" t="s">
        <v>1253</v>
      </c>
      <c r="N1123" s="48">
        <v>45667</v>
      </c>
      <c r="O1123" s="21">
        <f>INDEX(Auxiliar!$D$5:$F$13,MATCH(Table1[[#This Row],[Tipologia_Testes]],Auxiliar!$B$5:$B$13,0),MATCH(Table1[[#This Row],[Complexidade]],Auxiliar!$D$4:$F$4,0))</f>
        <v>2</v>
      </c>
      <c r="P1123" s="43" t="s">
        <v>1338</v>
      </c>
      <c r="Q1123" s="114"/>
      <c r="R1123" s="152">
        <v>45622</v>
      </c>
      <c r="S1123" s="152"/>
      <c r="T1123" s="152"/>
      <c r="U1123" s="152">
        <v>45631</v>
      </c>
      <c r="V1123" s="152">
        <v>45631</v>
      </c>
      <c r="W1123" s="2">
        <f>VLOOKUP(Table1[[#This Row],[Status]],Auxiliar!$B$16:$D$24,3,0)*Table1[[#This Row],[Estimação (horas)]]</f>
        <v>2</v>
      </c>
      <c r="X1123" s="114"/>
    </row>
    <row r="1124" spans="2:24" ht="17.7" hidden="1" customHeight="1">
      <c r="B1124" s="39" t="s">
        <v>26</v>
      </c>
      <c r="C1124" s="39" t="s">
        <v>26</v>
      </c>
      <c r="D1124" s="39" t="s">
        <v>1351</v>
      </c>
      <c r="E1124" s="39" t="s">
        <v>1352</v>
      </c>
      <c r="F1124" s="39" t="s">
        <v>369</v>
      </c>
      <c r="G1124" s="39" t="s">
        <v>374</v>
      </c>
      <c r="H1124" s="59" t="str">
        <f>Table1[[#This Row],[Tabela]]&amp;Table1[[#This Row],[Campo]]</f>
        <v>lt004_protectionemssns_scp1_prtctn</v>
      </c>
      <c r="I1124" s="2" t="s">
        <v>613</v>
      </c>
      <c r="J1124" s="45">
        <f>VLOOKUP(Table1[[#This Row],[Status]],Auxiliar!$B$16:$C$24,2,0)</f>
        <v>1</v>
      </c>
      <c r="K1124" s="45" t="s">
        <v>1249</v>
      </c>
      <c r="L1124" s="46" t="s">
        <v>1252</v>
      </c>
      <c r="M1124" s="21" t="s">
        <v>1253</v>
      </c>
      <c r="N1124" s="48">
        <v>45667</v>
      </c>
      <c r="O1124" s="21">
        <f>INDEX(Auxiliar!$D$5:$F$13,MATCH(Table1[[#This Row],[Tipologia_Testes]],Auxiliar!$B$5:$B$13,0),MATCH(Table1[[#This Row],[Complexidade]],Auxiliar!$D$4:$F$4,0))</f>
        <v>0.1</v>
      </c>
      <c r="P1124" s="43" t="s">
        <v>1338</v>
      </c>
      <c r="Q1124" s="114"/>
      <c r="R1124" s="152">
        <v>45622</v>
      </c>
      <c r="S1124" s="152"/>
      <c r="T1124" s="152"/>
      <c r="U1124" s="152">
        <v>45631</v>
      </c>
      <c r="V1124" s="152">
        <v>45631</v>
      </c>
      <c r="W1124" s="2">
        <f>VLOOKUP(Table1[[#This Row],[Status]],Auxiliar!$B$16:$D$24,3,0)*Table1[[#This Row],[Estimação (horas)]]</f>
        <v>0.1</v>
      </c>
      <c r="X1124" s="114"/>
    </row>
    <row r="1125" spans="2:24" ht="52.2" hidden="1" customHeight="1">
      <c r="B1125" s="41" t="s">
        <v>26</v>
      </c>
      <c r="C1125" s="41" t="s">
        <v>26</v>
      </c>
      <c r="D1125" s="36" t="s">
        <v>1351</v>
      </c>
      <c r="E1125" s="40" t="s">
        <v>1353</v>
      </c>
      <c r="F1125" s="40" t="s">
        <v>369</v>
      </c>
      <c r="G1125" s="38" t="s">
        <v>375</v>
      </c>
      <c r="H1125" s="60" t="str">
        <f>Table1[[#This Row],[Tabela]]&amp;Table1[[#This Row],[Campo]]</f>
        <v>lt004_protectionemssns_scp2_prtctn</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1338</v>
      </c>
      <c r="Q1125" s="152"/>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1351</v>
      </c>
      <c r="E1126" s="39" t="s">
        <v>1353</v>
      </c>
      <c r="F1126" s="39" t="s">
        <v>369</v>
      </c>
      <c r="G1126" s="39" t="s">
        <v>375</v>
      </c>
      <c r="H1126" s="59" t="str">
        <f>Table1[[#This Row],[Tabela]]&amp;Table1[[#This Row],[Campo]]</f>
        <v>lt004_protectionemssns_scp2_prtctn</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1338</v>
      </c>
      <c r="Q1126" s="152"/>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1351</v>
      </c>
      <c r="E1127" s="39" t="s">
        <v>1353</v>
      </c>
      <c r="F1127" s="39" t="s">
        <v>369</v>
      </c>
      <c r="G1127" s="39" t="s">
        <v>375</v>
      </c>
      <c r="H1127" s="59" t="str">
        <f>Table1[[#This Row],[Tabela]]&amp;Table1[[#This Row],[Campo]]</f>
        <v>lt004_protectionemssns_scp2_prtctn</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1338</v>
      </c>
      <c r="Q1127" s="152"/>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6" t="s">
        <v>1351</v>
      </c>
      <c r="E1128" s="40" t="s">
        <v>1354</v>
      </c>
      <c r="F1128" s="40" t="s">
        <v>369</v>
      </c>
      <c r="G1128" s="38" t="s">
        <v>376</v>
      </c>
      <c r="H1128" s="60" t="str">
        <f>Table1[[#This Row],[Tabela]]&amp;Table1[[#This Row],[Campo]]</f>
        <v>lt004_protectionemssns_scp3_prtctn</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1338</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1351</v>
      </c>
      <c r="E1129" s="39" t="s">
        <v>1354</v>
      </c>
      <c r="F1129" s="39" t="s">
        <v>369</v>
      </c>
      <c r="G1129" s="39" t="s">
        <v>376</v>
      </c>
      <c r="H1129" s="59" t="str">
        <f>Table1[[#This Row],[Tabela]]&amp;Table1[[#This Row],[Campo]]</f>
        <v>lt004_protectionemssns_scp3_prtctn</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1338</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1351</v>
      </c>
      <c r="E1130" s="39" t="s">
        <v>1354</v>
      </c>
      <c r="F1130" s="39" t="s">
        <v>369</v>
      </c>
      <c r="G1130" s="39" t="s">
        <v>376</v>
      </c>
      <c r="H1130" s="59" t="str">
        <f>Table1[[#This Row],[Tabela]]&amp;Table1[[#This Row],[Campo]]</f>
        <v>lt004_protectionemssns_scp3_prtctn</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1338</v>
      </c>
      <c r="Q1130" s="152"/>
      <c r="R1130" s="152">
        <v>45622</v>
      </c>
      <c r="S1130" s="152"/>
      <c r="T1130" s="152"/>
      <c r="U1130" s="152">
        <v>45631</v>
      </c>
      <c r="V1130" s="152">
        <v>45631</v>
      </c>
      <c r="W1130" s="2">
        <f>VLOOKUP(Table1[[#This Row],[Status]],Auxiliar!$B$16:$D$24,3,0)*Table1[[#This Row],[Estimação (horas)]]</f>
        <v>0.1</v>
      </c>
      <c r="X1130" s="114"/>
    </row>
    <row r="1131" spans="2:24" ht="17.7"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1349</v>
      </c>
      <c r="E1134" s="42" t="s">
        <v>1331</v>
      </c>
      <c r="F1134" s="40" t="s">
        <v>369</v>
      </c>
      <c r="G1134" s="38" t="s">
        <v>378</v>
      </c>
      <c r="H1134" s="60" t="str">
        <f>Table1[[#This Row],[Tabela]]&amp;Table1[[#This Row],[Campo]]</f>
        <v>lt004_protectionmthd_usd_prtctn_scp_2</v>
      </c>
      <c r="I1134" s="2" t="s">
        <v>613</v>
      </c>
      <c r="J1134" s="45">
        <f>VLOOKUP(Table1[[#This Row],[Status]],Auxiliar!$B$16:$C$24,2,0)</f>
        <v>1</v>
      </c>
      <c r="K1134" s="45" t="s">
        <v>1246</v>
      </c>
      <c r="L1134" s="46" t="s">
        <v>1252</v>
      </c>
      <c r="M1134" s="21" t="s">
        <v>1253</v>
      </c>
      <c r="N1134" s="48">
        <v>45667</v>
      </c>
      <c r="O1134" s="21">
        <f>INDEX(Auxiliar!$D$5:$F$13,MATCH(Table1[[#This Row],[Tipologia_Testes]],Auxiliar!$B$5:$B$13,0),MATCH(Table1[[#This Row],[Complexidade]],Auxiliar!$D$4:$F$4,0))</f>
        <v>2</v>
      </c>
      <c r="P1134" s="43" t="s">
        <v>1350</v>
      </c>
      <c r="Q1134" s="152"/>
      <c r="R1134" s="152">
        <v>45622</v>
      </c>
      <c r="S1134" s="152"/>
      <c r="T1134" s="152"/>
      <c r="U1134" s="152">
        <v>45631</v>
      </c>
      <c r="V1134" s="152">
        <v>45631</v>
      </c>
      <c r="W1134" s="2">
        <f>VLOOKUP(Table1[[#This Row],[Status]],Auxiliar!$B$16:$D$24,3,0)*Table1[[#This Row],[Estimação (horas)]]</f>
        <v>2</v>
      </c>
      <c r="X1134" s="114"/>
    </row>
    <row r="1135" spans="2:24" ht="17.7" hidden="1" customHeight="1">
      <c r="B1135" s="39" t="s">
        <v>26</v>
      </c>
      <c r="C1135" s="39" t="s">
        <v>26</v>
      </c>
      <c r="D1135" s="39" t="s">
        <v>1349</v>
      </c>
      <c r="E1135" s="39" t="s">
        <v>1331</v>
      </c>
      <c r="F1135" s="39" t="s">
        <v>369</v>
      </c>
      <c r="G1135" s="39" t="s">
        <v>378</v>
      </c>
      <c r="H1135" s="59" t="str">
        <f>Table1[[#This Row],[Tabela]]&amp;Table1[[#This Row],[Campo]]</f>
        <v>lt004_protectionmthd_usd_prtctn_scp_2</v>
      </c>
      <c r="I1135" s="2" t="s">
        <v>613</v>
      </c>
      <c r="J1135" s="45">
        <f>VLOOKUP(Table1[[#This Row],[Status]],Auxiliar!$B$16:$C$24,2,0)</f>
        <v>1</v>
      </c>
      <c r="K1135" s="45" t="s">
        <v>1247</v>
      </c>
      <c r="L1135" s="46" t="s">
        <v>1252</v>
      </c>
      <c r="M1135" s="21" t="s">
        <v>1253</v>
      </c>
      <c r="N1135" s="48">
        <v>45667</v>
      </c>
      <c r="O1135" s="21">
        <f>INDEX(Auxiliar!$D$5:$F$13,MATCH(Table1[[#This Row],[Tipologia_Testes]],Auxiliar!$B$5:$B$13,0),MATCH(Table1[[#This Row],[Complexidade]],Auxiliar!$D$4:$F$4,0))</f>
        <v>2</v>
      </c>
      <c r="P1135" s="43" t="s">
        <v>1350</v>
      </c>
      <c r="Q1135" s="152"/>
      <c r="R1135" s="152">
        <v>45622</v>
      </c>
      <c r="S1135" s="152"/>
      <c r="T1135" s="152"/>
      <c r="U1135" s="152">
        <v>45631</v>
      </c>
      <c r="V1135" s="152">
        <v>45631</v>
      </c>
      <c r="W1135" s="2">
        <f>VLOOKUP(Table1[[#This Row],[Status]],Auxiliar!$B$16:$D$24,3,0)*Table1[[#This Row],[Estimação (horas)]]</f>
        <v>2</v>
      </c>
      <c r="X1135" s="114"/>
    </row>
    <row r="1136" spans="2:24" ht="17.7" hidden="1" customHeight="1">
      <c r="B1136" s="39" t="s">
        <v>26</v>
      </c>
      <c r="C1136" s="39" t="s">
        <v>26</v>
      </c>
      <c r="D1136" s="39" t="s">
        <v>1349</v>
      </c>
      <c r="E1136" s="39" t="s">
        <v>1331</v>
      </c>
      <c r="F1136" s="39" t="s">
        <v>369</v>
      </c>
      <c r="G1136" s="39" t="s">
        <v>378</v>
      </c>
      <c r="H1136" s="59" t="str">
        <f>Table1[[#This Row],[Tabela]]&amp;Table1[[#This Row],[Campo]]</f>
        <v>lt004_protectionmthd_usd_prtctn_scp_2</v>
      </c>
      <c r="I1136" s="2" t="s">
        <v>613</v>
      </c>
      <c r="J1136" s="45">
        <f>VLOOKUP(Table1[[#This Row],[Status]],Auxiliar!$B$16:$C$24,2,0)</f>
        <v>1</v>
      </c>
      <c r="K1136" s="45" t="s">
        <v>1249</v>
      </c>
      <c r="L1136" s="46" t="s">
        <v>1252</v>
      </c>
      <c r="M1136" s="21" t="s">
        <v>1253</v>
      </c>
      <c r="N1136" s="48">
        <v>45667</v>
      </c>
      <c r="O1136" s="21">
        <f>INDEX(Auxiliar!$D$5:$F$13,MATCH(Table1[[#This Row],[Tipologia_Testes]],Auxiliar!$B$5:$B$13,0),MATCH(Table1[[#This Row],[Complexidade]],Auxiliar!$D$4:$F$4,0))</f>
        <v>0.1</v>
      </c>
      <c r="P1136" s="43" t="s">
        <v>1350</v>
      </c>
      <c r="Q1136" s="152"/>
      <c r="R1136" s="152">
        <v>45622</v>
      </c>
      <c r="S1136" s="152"/>
      <c r="T1136" s="152"/>
      <c r="U1136" s="152">
        <v>45631</v>
      </c>
      <c r="V1136" s="152">
        <v>45631</v>
      </c>
      <c r="W1136" s="2">
        <f>VLOOKUP(Table1[[#This Row],[Status]],Auxiliar!$B$16:$D$24,3,0)*Table1[[#This Row],[Estimação (horas)]]</f>
        <v>0.1</v>
      </c>
      <c r="X1136" s="114"/>
    </row>
    <row r="1137" spans="2:24" ht="17.7" hidden="1" customHeight="1">
      <c r="B1137" s="41" t="s">
        <v>26</v>
      </c>
      <c r="C1137" s="41" t="s">
        <v>26</v>
      </c>
      <c r="D1137" s="37" t="s">
        <v>1349</v>
      </c>
      <c r="E1137" s="42" t="s">
        <v>1331</v>
      </c>
      <c r="F1137" s="40" t="s">
        <v>369</v>
      </c>
      <c r="G1137" s="38" t="s">
        <v>379</v>
      </c>
      <c r="H1137" s="60" t="str">
        <f>Table1[[#This Row],[Tabela]]&amp;Table1[[#This Row],[Campo]]</f>
        <v>lt004_protectionmthd_usd_prtctn_scp_3</v>
      </c>
      <c r="I1137" s="2" t="s">
        <v>613</v>
      </c>
      <c r="J1137" s="45">
        <f>VLOOKUP(Table1[[#This Row],[Status]],Auxiliar!$B$16:$C$24,2,0)</f>
        <v>1</v>
      </c>
      <c r="K1137" s="45" t="s">
        <v>1246</v>
      </c>
      <c r="L1137" s="46" t="s">
        <v>1252</v>
      </c>
      <c r="M1137" s="21" t="s">
        <v>1253</v>
      </c>
      <c r="N1137" s="48">
        <v>45667</v>
      </c>
      <c r="O1137" s="21">
        <f>INDEX(Auxiliar!$D$5:$F$13,MATCH(Table1[[#This Row],[Tipologia_Testes]],Auxiliar!$B$5:$B$13,0),MATCH(Table1[[#This Row],[Complexidade]],Auxiliar!$D$4:$F$4,0))</f>
        <v>2</v>
      </c>
      <c r="P1137" s="43" t="s">
        <v>1350</v>
      </c>
      <c r="Q1137" s="152"/>
      <c r="R1137" s="152">
        <v>45622</v>
      </c>
      <c r="S1137" s="152"/>
      <c r="T1137" s="152"/>
      <c r="U1137" s="152">
        <v>45631</v>
      </c>
      <c r="V1137" s="152">
        <v>45631</v>
      </c>
      <c r="W1137" s="2">
        <f>VLOOKUP(Table1[[#This Row],[Status]],Auxiliar!$B$16:$D$24,3,0)*Table1[[#This Row],[Estimação (horas)]]</f>
        <v>2</v>
      </c>
      <c r="X1137" s="114"/>
    </row>
    <row r="1138" spans="2:24" ht="17.7" hidden="1" customHeight="1">
      <c r="B1138" s="39" t="s">
        <v>26</v>
      </c>
      <c r="C1138" s="39" t="s">
        <v>26</v>
      </c>
      <c r="D1138" s="39" t="s">
        <v>1349</v>
      </c>
      <c r="E1138" s="39" t="s">
        <v>1331</v>
      </c>
      <c r="F1138" s="39" t="s">
        <v>369</v>
      </c>
      <c r="G1138" s="39" t="s">
        <v>379</v>
      </c>
      <c r="H1138" s="59" t="str">
        <f>Table1[[#This Row],[Tabela]]&amp;Table1[[#This Row],[Campo]]</f>
        <v>lt004_protectionmthd_usd_prtctn_scp_3</v>
      </c>
      <c r="I1138" s="2" t="s">
        <v>613</v>
      </c>
      <c r="J1138" s="45">
        <f>VLOOKUP(Table1[[#This Row],[Status]],Auxiliar!$B$16:$C$24,2,0)</f>
        <v>1</v>
      </c>
      <c r="K1138" s="45" t="s">
        <v>1247</v>
      </c>
      <c r="L1138" s="46" t="s">
        <v>1252</v>
      </c>
      <c r="M1138" s="21" t="s">
        <v>1253</v>
      </c>
      <c r="N1138" s="48">
        <v>45667</v>
      </c>
      <c r="O1138" s="21">
        <f>INDEX(Auxiliar!$D$5:$F$13,MATCH(Table1[[#This Row],[Tipologia_Testes]],Auxiliar!$B$5:$B$13,0),MATCH(Table1[[#This Row],[Complexidade]],Auxiliar!$D$4:$F$4,0))</f>
        <v>2</v>
      </c>
      <c r="P1138" s="43" t="s">
        <v>1350</v>
      </c>
      <c r="Q1138" s="152"/>
      <c r="R1138" s="152">
        <v>45622</v>
      </c>
      <c r="S1138" s="152"/>
      <c r="T1138" s="152"/>
      <c r="U1138" s="152">
        <v>45631</v>
      </c>
      <c r="V1138" s="152">
        <v>45631</v>
      </c>
      <c r="W1138" s="2">
        <f>VLOOKUP(Table1[[#This Row],[Status]],Auxiliar!$B$16:$D$24,3,0)*Table1[[#This Row],[Estimação (horas)]]</f>
        <v>2</v>
      </c>
      <c r="X1138" s="114"/>
    </row>
    <row r="1139" spans="2:24" ht="17.7" hidden="1" customHeight="1">
      <c r="B1139" s="39" t="s">
        <v>26</v>
      </c>
      <c r="C1139" s="39" t="s">
        <v>26</v>
      </c>
      <c r="D1139" s="39" t="s">
        <v>1349</v>
      </c>
      <c r="E1139" s="39" t="s">
        <v>1331</v>
      </c>
      <c r="F1139" s="39" t="s">
        <v>369</v>
      </c>
      <c r="G1139" s="39" t="s">
        <v>379</v>
      </c>
      <c r="H1139" s="59" t="str">
        <f>Table1[[#This Row],[Tabela]]&amp;Table1[[#This Row],[Campo]]</f>
        <v>lt004_protectionmthd_usd_prtctn_scp_3</v>
      </c>
      <c r="I1139" s="2" t="s">
        <v>613</v>
      </c>
      <c r="J1139" s="45">
        <f>VLOOKUP(Table1[[#This Row],[Status]],Auxiliar!$B$16:$C$24,2,0)</f>
        <v>1</v>
      </c>
      <c r="K1139" s="45" t="s">
        <v>1249</v>
      </c>
      <c r="L1139" s="46" t="s">
        <v>1252</v>
      </c>
      <c r="M1139" s="21" t="s">
        <v>1253</v>
      </c>
      <c r="N1139" s="48">
        <v>45667</v>
      </c>
      <c r="O1139" s="21">
        <f>INDEX(Auxiliar!$D$5:$F$13,MATCH(Table1[[#This Row],[Tipologia_Testes]],Auxiliar!$B$5:$B$13,0),MATCH(Table1[[#This Row],[Complexidade]],Auxiliar!$D$4:$F$4,0))</f>
        <v>0.1</v>
      </c>
      <c r="P1139" s="43" t="s">
        <v>1350</v>
      </c>
      <c r="Q1139" s="152"/>
      <c r="R1139" s="152">
        <v>45622</v>
      </c>
      <c r="S1139" s="152"/>
      <c r="T1139" s="152"/>
      <c r="U1139" s="152">
        <v>45631</v>
      </c>
      <c r="V1139" s="152">
        <v>45631</v>
      </c>
      <c r="W1139" s="2">
        <f>VLOOKUP(Table1[[#This Row],[Status]],Auxiliar!$B$16:$D$24,3,0)*Table1[[#This Row],[Estimação (horas)]]</f>
        <v>0.1</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1246</v>
      </c>
      <c r="L1140" s="46" t="s">
        <v>1252</v>
      </c>
      <c r="M1140" s="21" t="s">
        <v>1253</v>
      </c>
      <c r="N1140" s="48">
        <v>45632</v>
      </c>
      <c r="O1140" s="21">
        <f>INDEX(Auxiliar!$D$5:$F$13,MATCH(Table1[[#This Row],[Tipologia_Testes]],Auxiliar!$B$5:$B$13,0),MATCH(Table1[[#This Row],[Complexidade]],Auxiliar!$D$4:$F$4,0))</f>
        <v>2</v>
      </c>
      <c r="P1140" s="43" t="s">
        <v>1338</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1247</v>
      </c>
      <c r="L1141" s="46" t="s">
        <v>1252</v>
      </c>
      <c r="M1141" s="21" t="s">
        <v>1253</v>
      </c>
      <c r="N1141" s="48">
        <v>45632</v>
      </c>
      <c r="O1141" s="21">
        <f>INDEX(Auxiliar!$D$5:$F$13,MATCH(Table1[[#This Row],[Tipologia_Testes]],Auxiliar!$B$5:$B$13,0),MATCH(Table1[[#This Row],[Complexidade]],Auxiliar!$D$4:$F$4,0))</f>
        <v>2</v>
      </c>
      <c r="P1141" s="43" t="s">
        <v>1338</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1249</v>
      </c>
      <c r="L1142" s="46" t="s">
        <v>1252</v>
      </c>
      <c r="M1142" s="21" t="s">
        <v>1253</v>
      </c>
      <c r="N1142" s="48">
        <v>45632</v>
      </c>
      <c r="O1142" s="21">
        <f>INDEX(Auxiliar!$D$5:$F$13,MATCH(Table1[[#This Row],[Tipologia_Testes]],Auxiliar!$B$5:$B$13,0),MATCH(Table1[[#This Row],[Complexidade]],Auxiliar!$D$4:$F$4,0))</f>
        <v>0.1</v>
      </c>
      <c r="P1142" s="43" t="s">
        <v>1338</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1246</v>
      </c>
      <c r="L1143" s="46" t="s">
        <v>1252</v>
      </c>
      <c r="M1143" s="21" t="s">
        <v>1253</v>
      </c>
      <c r="N1143" s="48">
        <v>45632</v>
      </c>
      <c r="O1143" s="21">
        <f>INDEX(Auxiliar!$D$5:$F$13,MATCH(Table1[[#This Row],[Tipologia_Testes]],Auxiliar!$B$5:$B$13,0),MATCH(Table1[[#This Row],[Complexidade]],Auxiliar!$D$4:$F$4,0))</f>
        <v>2</v>
      </c>
      <c r="P1143" s="43" t="s">
        <v>1338</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1247</v>
      </c>
      <c r="L1144" s="46" t="s">
        <v>1252</v>
      </c>
      <c r="M1144" s="21" t="s">
        <v>1253</v>
      </c>
      <c r="N1144" s="48">
        <v>45632</v>
      </c>
      <c r="O1144" s="21">
        <f>INDEX(Auxiliar!$D$5:$F$13,MATCH(Table1[[#This Row],[Tipologia_Testes]],Auxiliar!$B$5:$B$13,0),MATCH(Table1[[#This Row],[Complexidade]],Auxiliar!$D$4:$F$4,0))</f>
        <v>2</v>
      </c>
      <c r="P1144" s="43" t="s">
        <v>1338</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1249</v>
      </c>
      <c r="L1145" s="46" t="s">
        <v>1252</v>
      </c>
      <c r="M1145" s="21" t="s">
        <v>1253</v>
      </c>
      <c r="N1145" s="48">
        <v>45632</v>
      </c>
      <c r="O1145" s="21">
        <f>INDEX(Auxiliar!$D$5:$F$13,MATCH(Table1[[#This Row],[Tipologia_Testes]],Auxiliar!$B$5:$B$13,0),MATCH(Table1[[#This Row],[Complexidade]],Auxiliar!$D$4:$F$4,0))</f>
        <v>0.1</v>
      </c>
      <c r="P1145" s="43" t="s">
        <v>1338</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1246</v>
      </c>
      <c r="L1146" s="46" t="s">
        <v>1252</v>
      </c>
      <c r="M1146" s="21" t="s">
        <v>1253</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1247</v>
      </c>
      <c r="L1147" s="46" t="s">
        <v>1252</v>
      </c>
      <c r="M1147" s="21" t="s">
        <v>1253</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1249</v>
      </c>
      <c r="L1148" s="46" t="s">
        <v>1252</v>
      </c>
      <c r="M1148" s="21" t="s">
        <v>1253</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hidden="1" customHeight="1">
      <c r="B1149" s="41" t="s">
        <v>26</v>
      </c>
      <c r="C1149" s="41" t="s">
        <v>26</v>
      </c>
      <c r="D1149" s="37" t="s">
        <v>478</v>
      </c>
      <c r="E1149" s="42" t="s">
        <v>479</v>
      </c>
      <c r="F1149" s="40" t="s">
        <v>369</v>
      </c>
      <c r="G1149" s="38" t="s">
        <v>1355</v>
      </c>
      <c r="H1149" s="60" t="str">
        <f>Table1[[#This Row],[Tabela]]&amp;Table1[[#This Row],[Campo]]</f>
        <v>lt004_protectionflg_exec</v>
      </c>
      <c r="I1149" s="2" t="s">
        <v>613</v>
      </c>
      <c r="J1149" s="45">
        <f>VLOOKUP(Table1[[#This Row],[Status]],Auxiliar!$B$16:$C$24,2,0)</f>
        <v>1</v>
      </c>
      <c r="K1149" s="45" t="s">
        <v>1246</v>
      </c>
      <c r="L1149" s="46" t="s">
        <v>1252</v>
      </c>
      <c r="M1149" s="21" t="s">
        <v>1253</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hidden="1" customHeight="1">
      <c r="B1150" s="39" t="s">
        <v>26</v>
      </c>
      <c r="C1150" s="39" t="s">
        <v>26</v>
      </c>
      <c r="D1150" s="39" t="s">
        <v>478</v>
      </c>
      <c r="E1150" s="39" t="s">
        <v>479</v>
      </c>
      <c r="F1150" s="39" t="s">
        <v>369</v>
      </c>
      <c r="G1150" s="39" t="s">
        <v>1355</v>
      </c>
      <c r="H1150" s="59" t="str">
        <f>Table1[[#This Row],[Tabela]]&amp;Table1[[#This Row],[Campo]]</f>
        <v>lt004_protectionflg_exec</v>
      </c>
      <c r="I1150" s="2" t="s">
        <v>613</v>
      </c>
      <c r="J1150" s="45">
        <f>VLOOKUP(Table1[[#This Row],[Status]],Auxiliar!$B$16:$C$24,2,0)</f>
        <v>1</v>
      </c>
      <c r="K1150" s="45" t="s">
        <v>1247</v>
      </c>
      <c r="L1150" s="46" t="s">
        <v>1252</v>
      </c>
      <c r="M1150" s="21" t="s">
        <v>1253</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hidden="1" customHeight="1">
      <c r="B1151" s="39" t="s">
        <v>26</v>
      </c>
      <c r="C1151" s="39" t="s">
        <v>26</v>
      </c>
      <c r="D1151" s="39" t="s">
        <v>478</v>
      </c>
      <c r="E1151" s="39" t="s">
        <v>479</v>
      </c>
      <c r="F1151" s="39" t="s">
        <v>369</v>
      </c>
      <c r="G1151" s="39" t="s">
        <v>1355</v>
      </c>
      <c r="H1151" s="59" t="str">
        <f>Table1[[#This Row],[Tabela]]&amp;Table1[[#This Row],[Campo]]</f>
        <v>lt004_protectionflg_exec</v>
      </c>
      <c r="I1151" s="2" t="s">
        <v>613</v>
      </c>
      <c r="J1151" s="45">
        <f>VLOOKUP(Table1[[#This Row],[Status]],Auxiliar!$B$16:$C$24,2,0)</f>
        <v>1</v>
      </c>
      <c r="K1151" s="45" t="s">
        <v>1249</v>
      </c>
      <c r="L1151" s="46" t="s">
        <v>1252</v>
      </c>
      <c r="M1151" s="21" t="s">
        <v>1253</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2</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2</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0.1</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1246</v>
      </c>
      <c r="L1155" s="46" t="s">
        <v>1252</v>
      </c>
      <c r="M1155" s="21" t="s">
        <v>1253</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1247</v>
      </c>
      <c r="L1156" s="46" t="s">
        <v>1252</v>
      </c>
      <c r="M1156" s="21" t="s">
        <v>1253</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1249</v>
      </c>
      <c r="L1157" s="46" t="s">
        <v>1252</v>
      </c>
      <c r="M1157" s="21" t="s">
        <v>1253</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1246</v>
      </c>
      <c r="L1158" s="46" t="s">
        <v>1252</v>
      </c>
      <c r="M1158" s="21" t="s">
        <v>1253</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1247</v>
      </c>
      <c r="L1159" s="46" t="s">
        <v>1252</v>
      </c>
      <c r="M1159" s="21" t="s">
        <v>1253</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1249</v>
      </c>
      <c r="L1160" s="46" t="s">
        <v>1252</v>
      </c>
      <c r="M1160" s="21" t="s">
        <v>1253</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1246</v>
      </c>
      <c r="L1161" s="46" t="s">
        <v>1252</v>
      </c>
      <c r="M1161" s="21" t="s">
        <v>1253</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1247</v>
      </c>
      <c r="L1162" s="46" t="s">
        <v>1252</v>
      </c>
      <c r="M1162" s="21" t="s">
        <v>1253</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1249</v>
      </c>
      <c r="L1163" s="46" t="s">
        <v>1252</v>
      </c>
      <c r="M1163" s="21" t="s">
        <v>1253</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1349</v>
      </c>
      <c r="E1164" s="42" t="s">
        <v>1331</v>
      </c>
      <c r="F1164" s="40" t="s">
        <v>1948</v>
      </c>
      <c r="G1164" s="38" t="s">
        <v>383</v>
      </c>
      <c r="H1164" s="60" t="str">
        <f>Table1[[#This Row],[Tabela]]&amp;Table1[[#This Row],[Campo]]</f>
        <v>lt007_instr_activityenvrnmntl_objctv</v>
      </c>
      <c r="I1164" s="2" t="s">
        <v>613</v>
      </c>
      <c r="J1164" s="45">
        <f>VLOOKUP(Table1[[#This Row],[Status]],Auxiliar!$B$16:$C$24,2,0)</f>
        <v>1</v>
      </c>
      <c r="K1164" s="45" t="s">
        <v>1246</v>
      </c>
      <c r="L1164" s="46" t="s">
        <v>1252</v>
      </c>
      <c r="M1164" s="21" t="s">
        <v>1253</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1349</v>
      </c>
      <c r="E1165" s="39" t="s">
        <v>1331</v>
      </c>
      <c r="F1165" s="40" t="s">
        <v>1948</v>
      </c>
      <c r="G1165" s="39" t="s">
        <v>383</v>
      </c>
      <c r="H1165" s="59" t="str">
        <f>Table1[[#This Row],[Tabela]]&amp;Table1[[#This Row],[Campo]]</f>
        <v>lt007_instr_activityenvrnmntl_objctv</v>
      </c>
      <c r="I1165" s="2" t="s">
        <v>613</v>
      </c>
      <c r="J1165" s="45">
        <f>VLOOKUP(Table1[[#This Row],[Status]],Auxiliar!$B$16:$C$24,2,0)</f>
        <v>1</v>
      </c>
      <c r="K1165" s="45" t="s">
        <v>1247</v>
      </c>
      <c r="L1165" s="46" t="s">
        <v>1252</v>
      </c>
      <c r="M1165" s="21" t="s">
        <v>1253</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1349</v>
      </c>
      <c r="E1166" s="39" t="s">
        <v>1331</v>
      </c>
      <c r="F1166" s="40" t="s">
        <v>1948</v>
      </c>
      <c r="G1166" s="39" t="s">
        <v>383</v>
      </c>
      <c r="H1166" s="59" t="str">
        <f>Table1[[#This Row],[Tabela]]&amp;Table1[[#This Row],[Campo]]</f>
        <v>lt007_instr_activityenvrnmntl_objctv</v>
      </c>
      <c r="I1166" s="2" t="s">
        <v>613</v>
      </c>
      <c r="J1166" s="45">
        <f>VLOOKUP(Table1[[#This Row],[Status]],Auxiliar!$B$16:$C$24,2,0)</f>
        <v>1</v>
      </c>
      <c r="K1166" s="45" t="s">
        <v>1249</v>
      </c>
      <c r="L1166" s="46" t="s">
        <v>1252</v>
      </c>
      <c r="M1166" s="21" t="s">
        <v>1253</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1349</v>
      </c>
      <c r="E1167" s="42" t="s">
        <v>1331</v>
      </c>
      <c r="F1167" s="40" t="s">
        <v>1948</v>
      </c>
      <c r="G1167" s="38" t="s">
        <v>384</v>
      </c>
      <c r="H1167" s="60" t="str">
        <f>Table1[[#This Row],[Tabela]]&amp;Table1[[#This Row],[Campo]]</f>
        <v>lt007_instr_activitytyp_actvty</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384</v>
      </c>
      <c r="H1168" s="59" t="str">
        <f>Table1[[#This Row],[Tabela]]&amp;Table1[[#This Row],[Campo]]</f>
        <v>lt007_instr_activitytyp_actvty</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384</v>
      </c>
      <c r="H1169" s="59" t="str">
        <f>Table1[[#This Row],[Tabela]]&amp;Table1[[#This Row],[Campo]]</f>
        <v>lt007_instr_activitytyp_actvty</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1349</v>
      </c>
      <c r="E1170" s="42" t="s">
        <v>1331</v>
      </c>
      <c r="F1170" s="40" t="s">
        <v>380</v>
      </c>
      <c r="G1170" s="38" t="s">
        <v>385</v>
      </c>
      <c r="H1170" s="60" t="str">
        <f>Table1[[#This Row],[Tabela]]&amp;Table1[[#This Row],[Campo]]</f>
        <v>lt002_instrumentlns_clltrlzd_clssfctn</v>
      </c>
      <c r="I1170" s="2" t="s">
        <v>613</v>
      </c>
      <c r="J1170" s="45">
        <f>VLOOKUP(Table1[[#This Row],[Status]],Auxiliar!$B$16:$C$24,2,0)</f>
        <v>1</v>
      </c>
      <c r="K1170" s="45" t="s">
        <v>1246</v>
      </c>
      <c r="L1170" s="46" t="s">
        <v>1252</v>
      </c>
      <c r="M1170" s="21" t="s">
        <v>1253</v>
      </c>
      <c r="N1170" s="48">
        <v>45583</v>
      </c>
      <c r="O1170" s="21">
        <f>INDEX(Auxiliar!$D$5:$F$13,MATCH(Table1[[#This Row],[Tipologia_Testes]],Auxiliar!$B$5:$B$13,0),MATCH(Table1[[#This Row],[Complexidade]],Auxiliar!$D$4:$F$4,0))</f>
        <v>2</v>
      </c>
      <c r="P1170" s="43" t="s">
        <v>1356</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1349</v>
      </c>
      <c r="E1171" s="39" t="s">
        <v>1331</v>
      </c>
      <c r="F1171" s="39" t="s">
        <v>380</v>
      </c>
      <c r="G1171" s="39" t="s">
        <v>385</v>
      </c>
      <c r="H1171" s="59" t="str">
        <f>Table1[[#This Row],[Tabela]]&amp;Table1[[#This Row],[Campo]]</f>
        <v>lt002_instrumentlns_clltrlzd_clssfctn</v>
      </c>
      <c r="I1171" s="2" t="s">
        <v>613</v>
      </c>
      <c r="J1171" s="45">
        <f>VLOOKUP(Table1[[#This Row],[Status]],Auxiliar!$B$16:$C$24,2,0)</f>
        <v>1</v>
      </c>
      <c r="K1171" s="45" t="s">
        <v>1247</v>
      </c>
      <c r="L1171" s="46" t="s">
        <v>1252</v>
      </c>
      <c r="M1171" s="21" t="s">
        <v>1253</v>
      </c>
      <c r="N1171" s="48">
        <v>45596</v>
      </c>
      <c r="O1171" s="21">
        <f>INDEX(Auxiliar!$D$5:$F$13,MATCH(Table1[[#This Row],[Tipologia_Testes]],Auxiliar!$B$5:$B$13,0),MATCH(Table1[[#This Row],[Complexidade]],Auxiliar!$D$4:$F$4,0))</f>
        <v>2</v>
      </c>
      <c r="P1171" s="43" t="s">
        <v>1356</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1349</v>
      </c>
      <c r="E1172" s="39" t="s">
        <v>1331</v>
      </c>
      <c r="F1172" s="39" t="s">
        <v>380</v>
      </c>
      <c r="G1172" s="39" t="s">
        <v>385</v>
      </c>
      <c r="H1172" s="59" t="str">
        <f>Table1[[#This Row],[Tabela]]&amp;Table1[[#This Row],[Campo]]</f>
        <v>lt002_instrumentlns_clltrlzd_clssfctn</v>
      </c>
      <c r="I1172" s="2" t="s">
        <v>613</v>
      </c>
      <c r="J1172" s="45">
        <f>VLOOKUP(Table1[[#This Row],[Status]],Auxiliar!$B$16:$C$24,2,0)</f>
        <v>1</v>
      </c>
      <c r="K1172" s="45" t="s">
        <v>1249</v>
      </c>
      <c r="L1172" s="46" t="s">
        <v>1252</v>
      </c>
      <c r="M1172" s="21" t="s">
        <v>1253</v>
      </c>
      <c r="N1172" s="48">
        <v>45596</v>
      </c>
      <c r="O1172" s="21">
        <f>INDEX(Auxiliar!$D$5:$F$13,MATCH(Table1[[#This Row],[Tipologia_Testes]],Auxiliar!$B$5:$B$13,0),MATCH(Table1[[#This Row],[Complexidade]],Auxiliar!$D$4:$F$4,0))</f>
        <v>0.1</v>
      </c>
      <c r="P1172" s="43" t="s">
        <v>1356</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1949</v>
      </c>
      <c r="E1173" s="111" t="s">
        <v>38</v>
      </c>
      <c r="F1173" s="40" t="s">
        <v>380</v>
      </c>
      <c r="G1173" s="38" t="s">
        <v>386</v>
      </c>
      <c r="H1173" s="60" t="str">
        <f>Table1[[#This Row],[Tabela]]&amp;Table1[[#This Row],[Campo]]</f>
        <v>lt002_instrumentmthd_usd_instrmnt_scp_1</v>
      </c>
      <c r="I1173" s="2" t="s">
        <v>1921</v>
      </c>
      <c r="J1173" s="45">
        <f>VLOOKUP(Table1[[#This Row],[Status]],Auxiliar!$B$16:$C$24,2,0)</f>
        <v>2</v>
      </c>
      <c r="K1173" s="45" t="s">
        <v>1246</v>
      </c>
      <c r="L1173" s="46" t="s">
        <v>1252</v>
      </c>
      <c r="M1173" s="21" t="s">
        <v>1253</v>
      </c>
      <c r="N1173" s="48">
        <v>45668</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1949</v>
      </c>
      <c r="E1174" s="39" t="s">
        <v>38</v>
      </c>
      <c r="F1174" s="39" t="s">
        <v>380</v>
      </c>
      <c r="G1174" s="39" t="s">
        <v>386</v>
      </c>
      <c r="H1174" s="59" t="str">
        <f>Table1[[#This Row],[Tabela]]&amp;Table1[[#This Row],[Campo]]</f>
        <v>lt002_instrumentmthd_usd_instrmnt_scp_1</v>
      </c>
      <c r="I1174" s="2" t="s">
        <v>1921</v>
      </c>
      <c r="J1174" s="45">
        <f>VLOOKUP(Table1[[#This Row],[Status]],Auxiliar!$B$16:$C$24,2,0)</f>
        <v>2</v>
      </c>
      <c r="K1174" s="45" t="s">
        <v>1247</v>
      </c>
      <c r="L1174" s="46" t="s">
        <v>1252</v>
      </c>
      <c r="M1174" s="21" t="s">
        <v>1253</v>
      </c>
      <c r="N1174" s="48">
        <v>45668</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1949</v>
      </c>
      <c r="E1175" s="39" t="s">
        <v>38</v>
      </c>
      <c r="F1175" s="39" t="s">
        <v>380</v>
      </c>
      <c r="G1175" s="39" t="s">
        <v>386</v>
      </c>
      <c r="H1175" s="59" t="str">
        <f>Table1[[#This Row],[Tabela]]&amp;Table1[[#This Row],[Campo]]</f>
        <v>lt002_instrumentmthd_usd_instrmnt_scp_1</v>
      </c>
      <c r="I1175" s="2" t="s">
        <v>1921</v>
      </c>
      <c r="J1175" s="45">
        <f>VLOOKUP(Table1[[#This Row],[Status]],Auxiliar!$B$16:$C$24,2,0)</f>
        <v>2</v>
      </c>
      <c r="K1175" s="45" t="s">
        <v>1249</v>
      </c>
      <c r="L1175" s="46" t="s">
        <v>1252</v>
      </c>
      <c r="M1175" s="21" t="s">
        <v>1253</v>
      </c>
      <c r="N1175" s="48">
        <v>45668</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1949</v>
      </c>
      <c r="E1176" s="111" t="s">
        <v>38</v>
      </c>
      <c r="F1176" s="40" t="s">
        <v>380</v>
      </c>
      <c r="G1176" s="38" t="s">
        <v>387</v>
      </c>
      <c r="H1176" s="60" t="str">
        <f>Table1[[#This Row],[Tabela]]&amp;Table1[[#This Row],[Campo]]</f>
        <v>lt002_instrumentmthd_usd_instrmnt_scp_2</v>
      </c>
      <c r="I1176" s="2" t="s">
        <v>1921</v>
      </c>
      <c r="J1176" s="45">
        <f>VLOOKUP(Table1[[#This Row],[Status]],Auxiliar!$B$16:$C$24,2,0)</f>
        <v>2</v>
      </c>
      <c r="K1176" s="45" t="s">
        <v>1246</v>
      </c>
      <c r="L1176" s="46" t="s">
        <v>1252</v>
      </c>
      <c r="M1176" s="21" t="s">
        <v>1253</v>
      </c>
      <c r="N1176" s="48">
        <v>45668</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1949</v>
      </c>
      <c r="E1177" s="39" t="s">
        <v>38</v>
      </c>
      <c r="F1177" s="39" t="s">
        <v>380</v>
      </c>
      <c r="G1177" s="39" t="s">
        <v>387</v>
      </c>
      <c r="H1177" s="59" t="str">
        <f>Table1[[#This Row],[Tabela]]&amp;Table1[[#This Row],[Campo]]</f>
        <v>lt002_instrumentmthd_usd_instrmnt_scp_2</v>
      </c>
      <c r="I1177" s="2" t="s">
        <v>1921</v>
      </c>
      <c r="J1177" s="45">
        <f>VLOOKUP(Table1[[#This Row],[Status]],Auxiliar!$B$16:$C$24,2,0)</f>
        <v>2</v>
      </c>
      <c r="K1177" s="45" t="s">
        <v>1247</v>
      </c>
      <c r="L1177" s="46" t="s">
        <v>1252</v>
      </c>
      <c r="M1177" s="21" t="s">
        <v>1253</v>
      </c>
      <c r="N1177" s="48">
        <v>45668</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1949</v>
      </c>
      <c r="E1178" s="39" t="s">
        <v>38</v>
      </c>
      <c r="F1178" s="39" t="s">
        <v>380</v>
      </c>
      <c r="G1178" s="39" t="s">
        <v>387</v>
      </c>
      <c r="H1178" s="59" t="str">
        <f>Table1[[#This Row],[Tabela]]&amp;Table1[[#This Row],[Campo]]</f>
        <v>lt002_instrumentmthd_usd_instrmnt_scp_2</v>
      </c>
      <c r="I1178" s="2" t="s">
        <v>1921</v>
      </c>
      <c r="J1178" s="45">
        <f>VLOOKUP(Table1[[#This Row],[Status]],Auxiliar!$B$16:$C$24,2,0)</f>
        <v>2</v>
      </c>
      <c r="K1178" s="45" t="s">
        <v>1249</v>
      </c>
      <c r="L1178" s="46" t="s">
        <v>1252</v>
      </c>
      <c r="M1178" s="21" t="s">
        <v>1253</v>
      </c>
      <c r="N1178" s="48">
        <v>45668</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1949</v>
      </c>
      <c r="E1179" s="111" t="s">
        <v>38</v>
      </c>
      <c r="F1179" s="40" t="s">
        <v>380</v>
      </c>
      <c r="G1179" s="38" t="s">
        <v>388</v>
      </c>
      <c r="H1179" s="60" t="str">
        <f>Table1[[#This Row],[Tabela]]&amp;Table1[[#This Row],[Campo]]</f>
        <v>lt002_instrumentmthd_usd_instrmnt_scp_3</v>
      </c>
      <c r="I1179" s="2" t="s">
        <v>1921</v>
      </c>
      <c r="J1179" s="45">
        <f>VLOOKUP(Table1[[#This Row],[Status]],Auxiliar!$B$16:$C$24,2,0)</f>
        <v>2</v>
      </c>
      <c r="K1179" s="45" t="s">
        <v>1246</v>
      </c>
      <c r="L1179" s="46" t="s">
        <v>1252</v>
      </c>
      <c r="M1179" s="21" t="s">
        <v>1253</v>
      </c>
      <c r="N1179" s="48">
        <v>45668</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1949</v>
      </c>
      <c r="E1180" s="39" t="s">
        <v>38</v>
      </c>
      <c r="F1180" s="39" t="s">
        <v>380</v>
      </c>
      <c r="G1180" s="39" t="s">
        <v>388</v>
      </c>
      <c r="H1180" s="59" t="str">
        <f>Table1[[#This Row],[Tabela]]&amp;Table1[[#This Row],[Campo]]</f>
        <v>lt002_instrumentmthd_usd_instrmnt_scp_3</v>
      </c>
      <c r="I1180" s="2" t="s">
        <v>1921</v>
      </c>
      <c r="J1180" s="45">
        <f>VLOOKUP(Table1[[#This Row],[Status]],Auxiliar!$B$16:$C$24,2,0)</f>
        <v>2</v>
      </c>
      <c r="K1180" s="45" t="s">
        <v>1247</v>
      </c>
      <c r="L1180" s="46" t="s">
        <v>1252</v>
      </c>
      <c r="M1180" s="21" t="s">
        <v>1253</v>
      </c>
      <c r="N1180" s="48">
        <v>45668</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1949</v>
      </c>
      <c r="E1181" s="39" t="s">
        <v>38</v>
      </c>
      <c r="F1181" s="39" t="s">
        <v>380</v>
      </c>
      <c r="G1181" s="39" t="s">
        <v>388</v>
      </c>
      <c r="H1181" s="59" t="str">
        <f>Table1[[#This Row],[Tabela]]&amp;Table1[[#This Row],[Campo]]</f>
        <v>lt002_instrumentmthd_usd_instrmnt_scp_3</v>
      </c>
      <c r="I1181" s="2" t="s">
        <v>1921</v>
      </c>
      <c r="J1181" s="45">
        <f>VLOOKUP(Table1[[#This Row],[Status]],Auxiliar!$B$16:$C$24,2,0)</f>
        <v>2</v>
      </c>
      <c r="K1181" s="45" t="s">
        <v>1249</v>
      </c>
      <c r="L1181" s="46" t="s">
        <v>1252</v>
      </c>
      <c r="M1181" s="21" t="s">
        <v>1253</v>
      </c>
      <c r="N1181" s="48">
        <v>45668</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1357</v>
      </c>
      <c r="E1182" s="42" t="s">
        <v>1358</v>
      </c>
      <c r="F1182" s="40" t="s">
        <v>380</v>
      </c>
      <c r="G1182" s="38" t="s">
        <v>389</v>
      </c>
      <c r="H1182" s="60" t="str">
        <f>Table1[[#This Row],[Tabela]]&amp;Table1[[#This Row],[Campo]]</f>
        <v>lt002_instrumentsstnbl_ctgry_txnmy</v>
      </c>
      <c r="I1182" s="2" t="s">
        <v>613</v>
      </c>
      <c r="J1182" s="45">
        <f>VLOOKUP(Table1[[#This Row],[Status]],Auxiliar!$B$16:$C$24,2,0)</f>
        <v>1</v>
      </c>
      <c r="K1182" s="45" t="s">
        <v>1246</v>
      </c>
      <c r="L1182" s="46" t="s">
        <v>1252</v>
      </c>
      <c r="M1182" s="21" t="s">
        <v>1253</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1357</v>
      </c>
      <c r="E1183" s="39" t="s">
        <v>1358</v>
      </c>
      <c r="F1183" s="39" t="s">
        <v>380</v>
      </c>
      <c r="G1183" s="39" t="s">
        <v>389</v>
      </c>
      <c r="H1183" s="59" t="str">
        <f>Table1[[#This Row],[Tabela]]&amp;Table1[[#This Row],[Campo]]</f>
        <v>lt002_instrumentsstnbl_ctgry_txnmy</v>
      </c>
      <c r="I1183" s="2" t="s">
        <v>613</v>
      </c>
      <c r="J1183" s="45">
        <f>VLOOKUP(Table1[[#This Row],[Status]],Auxiliar!$B$16:$C$24,2,0)</f>
        <v>1</v>
      </c>
      <c r="K1183" s="45" t="s">
        <v>1247</v>
      </c>
      <c r="L1183" s="46" t="s">
        <v>1252</v>
      </c>
      <c r="M1183" s="21" t="s">
        <v>1253</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1357</v>
      </c>
      <c r="E1184" s="39" t="s">
        <v>1358</v>
      </c>
      <c r="F1184" s="39" t="s">
        <v>380</v>
      </c>
      <c r="G1184" s="39" t="s">
        <v>389</v>
      </c>
      <c r="H1184" s="59" t="str">
        <f>Table1[[#This Row],[Tabela]]&amp;Table1[[#This Row],[Campo]]</f>
        <v>lt002_instrumentsstnbl_ctgry_txnmy</v>
      </c>
      <c r="I1184" s="2" t="s">
        <v>613</v>
      </c>
      <c r="J1184" s="45">
        <f>VLOOKUP(Table1[[#This Row],[Status]],Auxiliar!$B$16:$C$24,2,0)</f>
        <v>1</v>
      </c>
      <c r="K1184" s="45" t="s">
        <v>1249</v>
      </c>
      <c r="L1184" s="46" t="s">
        <v>1252</v>
      </c>
      <c r="M1184" s="21" t="s">
        <v>1253</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1949</v>
      </c>
      <c r="G1185" s="40" t="s">
        <v>391</v>
      </c>
      <c r="H1185" s="60" t="str">
        <f>Table1[[#This Row],[Tabela]]&amp;Table1[[#This Row],[Campo]]</f>
        <v>lt827_mthd_usd_instrmntambito</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1949</v>
      </c>
      <c r="G1186" s="39" t="s">
        <v>391</v>
      </c>
      <c r="H1186" s="59" t="str">
        <f>Table1[[#This Row],[Tabela]]&amp;Table1[[#This Row],[Campo]]</f>
        <v>lt827_mthd_usd_instrmntambito</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1949</v>
      </c>
      <c r="G1187" s="39" t="s">
        <v>391</v>
      </c>
      <c r="H1187" s="59" t="str">
        <f>Table1[[#This Row],[Tabela]]&amp;Table1[[#This Row],[Campo]]</f>
        <v>lt827_mthd_usd_instrmntambito</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208</v>
      </c>
      <c r="H1188" s="60" t="str">
        <f>Table1[[#This Row],[Tabela]]&amp;Table1[[#This Row],[Campo]]</f>
        <v>lt827_mthd_usd_instrmntref_date</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208</v>
      </c>
      <c r="H1189" s="59" t="str">
        <f>Table1[[#This Row],[Tabela]]&amp;Table1[[#This Row],[Campo]]</f>
        <v>lt827_mthd_usd_instrmntref_date</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208</v>
      </c>
      <c r="H1190" s="59" t="str">
        <f>Table1[[#This Row],[Tabela]]&amp;Table1[[#This Row],[Campo]]</f>
        <v>lt827_mthd_usd_instrmntref_date</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211</v>
      </c>
      <c r="H1191" s="60" t="str">
        <f>Table1[[#This Row],[Tabela]]&amp;Table1[[#This Row],[Campo]]</f>
        <v>lt827_mthd_usd_instrmntordem</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211</v>
      </c>
      <c r="H1192" s="59" t="str">
        <f>Table1[[#This Row],[Tabela]]&amp;Table1[[#This Row],[Campo]]</f>
        <v>lt827_mthd_usd_instrmntordem</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211</v>
      </c>
      <c r="H1193" s="59" t="str">
        <f>Table1[[#This Row],[Tabela]]&amp;Table1[[#This Row],[Campo]]</f>
        <v>lt827_mthd_usd_instrmntordem</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392</v>
      </c>
      <c r="H1194" s="60" t="str">
        <f>Table1[[#This Row],[Tabela]]&amp;Table1[[#This Row],[Campo]]</f>
        <v>lt827_mthd_usd_instrmnttabela</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392</v>
      </c>
      <c r="H1195" s="59" t="str">
        <f>Table1[[#This Row],[Tabela]]&amp;Table1[[#This Row],[Campo]]</f>
        <v>lt827_mthd_usd_instrmnttabela</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392</v>
      </c>
      <c r="H1196" s="59" t="str">
        <f>Table1[[#This Row],[Tabela]]&amp;Table1[[#This Row],[Campo]]</f>
        <v>lt827_mthd_usd_instrmnttabela</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38" t="s">
        <v>320</v>
      </c>
      <c r="H1197" s="60" t="str">
        <f>Table1[[#This Row],[Tabela]]&amp;Table1[[#This Row],[Campo]]</f>
        <v>lt827_mthd_usd_instrmntorigem_scp1_emss</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320</v>
      </c>
      <c r="H1198" s="59" t="str">
        <f>Table1[[#This Row],[Tabela]]&amp;Table1[[#This Row],[Campo]]</f>
        <v>lt827_mthd_usd_instrmntorigem_scp1_emss</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320</v>
      </c>
      <c r="H1199" s="59" t="str">
        <f>Table1[[#This Row],[Tabela]]&amp;Table1[[#This Row],[Campo]]</f>
        <v>lt827_mthd_usd_instrmntorigem_scp1_emss</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321</v>
      </c>
      <c r="H1200" s="60" t="str">
        <f>Table1[[#This Row],[Tabela]]&amp;Table1[[#This Row],[Campo]]</f>
        <v>lt827_mthd_usd_instrmntorigem_scp2_emss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321</v>
      </c>
      <c r="H1201" s="59" t="str">
        <f>Table1[[#This Row],[Tabela]]&amp;Table1[[#This Row],[Campo]]</f>
        <v>lt827_mthd_usd_instrmntorigem_scp2_emss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321</v>
      </c>
      <c r="H1202" s="59" t="str">
        <f>Table1[[#This Row],[Tabela]]&amp;Table1[[#This Row],[Campo]]</f>
        <v>lt827_mthd_usd_instrmntorigem_scp2_emss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322</v>
      </c>
      <c r="H1203" s="60" t="str">
        <f>Table1[[#This Row],[Tabela]]&amp;Table1[[#This Row],[Campo]]</f>
        <v>lt827_mthd_usd_instrmntorigem_scp3_emss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322</v>
      </c>
      <c r="H1204" s="59" t="str">
        <f>Table1[[#This Row],[Tabela]]&amp;Table1[[#This Row],[Campo]]</f>
        <v>lt827_mthd_usd_instrmntorigem_scp3_emss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322</v>
      </c>
      <c r="H1205" s="59" t="str">
        <f>Table1[[#This Row],[Tabela]]&amp;Table1[[#This Row],[Campo]]</f>
        <v>lt827_mthd_usd_instrmntorigem_scp3_emss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386</v>
      </c>
      <c r="H1206" s="60" t="str">
        <f>Table1[[#This Row],[Tabela]]&amp;Table1[[#This Row],[Campo]]</f>
        <v>lt827_mthd_usd_instrmntmthd_usd_instrmnt_scp_1</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386</v>
      </c>
      <c r="H1207" s="59" t="str">
        <f>Table1[[#This Row],[Tabela]]&amp;Table1[[#This Row],[Campo]]</f>
        <v>lt827_mthd_usd_instrmntmthd_usd_instrmnt_scp_1</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386</v>
      </c>
      <c r="H1208" s="59" t="str">
        <f>Table1[[#This Row],[Tabela]]&amp;Table1[[#This Row],[Campo]]</f>
        <v>lt827_mthd_usd_instrmntmthd_usd_instrmnt_scp_1</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387</v>
      </c>
      <c r="H1209" s="60" t="str">
        <f>Table1[[#This Row],[Tabela]]&amp;Table1[[#This Row],[Campo]]</f>
        <v>lt827_mthd_usd_instrmntmthd_usd_instrmnt_scp_2</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387</v>
      </c>
      <c r="H1210" s="59" t="str">
        <f>Table1[[#This Row],[Tabela]]&amp;Table1[[#This Row],[Campo]]</f>
        <v>lt827_mthd_usd_instrmntmthd_usd_instrmnt_scp_2</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387</v>
      </c>
      <c r="H1211" s="59" t="str">
        <f>Table1[[#This Row],[Tabela]]&amp;Table1[[#This Row],[Campo]]</f>
        <v>lt827_mthd_usd_instrmntmthd_usd_instrmnt_scp_2</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388</v>
      </c>
      <c r="H1212" s="60" t="str">
        <f>Table1[[#This Row],[Tabela]]&amp;Table1[[#This Row],[Campo]]</f>
        <v>lt827_mthd_usd_instrmntmthd_usd_instrmnt_scp_3</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388</v>
      </c>
      <c r="H1213" s="59" t="str">
        <f>Table1[[#This Row],[Tabela]]&amp;Table1[[#This Row],[Campo]]</f>
        <v>lt827_mthd_usd_instrmntmthd_usd_instrmnt_scp_3</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388</v>
      </c>
      <c r="H1214" s="59" t="str">
        <f>Table1[[#This Row],[Tabela]]&amp;Table1[[#This Row],[Campo]]</f>
        <v>lt827_mthd_usd_instrmntmthd_usd_instrmnt_scp_3</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1949</v>
      </c>
      <c r="G1215" s="39" t="s">
        <v>1933</v>
      </c>
      <c r="H1215" s="59" t="str">
        <f>Table1[[#This Row],[Tabela]]&amp;Table1[[#This Row],[Campo]]</f>
        <v>lt827_mthd_usd_instrmntpurpose_code</v>
      </c>
      <c r="I1215" s="2" t="s">
        <v>613</v>
      </c>
      <c r="J1215" s="45">
        <f>VLOOKUP(Table1[[#This Row],[Status]],Auxiliar!$B$16:$C$24,2,0)</f>
        <v>1</v>
      </c>
      <c r="K1215" s="45" t="s">
        <v>1246</v>
      </c>
      <c r="L1215" s="46" t="s">
        <v>1252</v>
      </c>
      <c r="M1215" s="21" t="s">
        <v>1253</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1933</v>
      </c>
      <c r="H1216" s="59" t="str">
        <f>Table1[[#This Row],[Tabela]]&amp;Table1[[#This Row],[Campo]]</f>
        <v>lt827_mthd_usd_instrmntpurpose_code</v>
      </c>
      <c r="I1216" s="2" t="s">
        <v>613</v>
      </c>
      <c r="J1216" s="45">
        <f>VLOOKUP(Table1[[#This Row],[Status]],Auxiliar!$B$16:$C$24,2,0)</f>
        <v>1</v>
      </c>
      <c r="K1216" s="45" t="s">
        <v>1247</v>
      </c>
      <c r="L1216" s="46" t="s">
        <v>1252</v>
      </c>
      <c r="M1216" s="21" t="s">
        <v>1253</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1933</v>
      </c>
      <c r="H1217" s="59" t="str">
        <f>Table1[[#This Row],[Tabela]]&amp;Table1[[#This Row],[Campo]]</f>
        <v>lt827_mthd_usd_instrmntpurpose_code</v>
      </c>
      <c r="I1217" s="2" t="s">
        <v>613</v>
      </c>
      <c r="J1217" s="45">
        <f>VLOOKUP(Table1[[#This Row],[Status]],Auxiliar!$B$16:$C$24,2,0)</f>
        <v>1</v>
      </c>
      <c r="K1217" s="45" t="s">
        <v>1249</v>
      </c>
      <c r="L1217" s="46" t="s">
        <v>1252</v>
      </c>
      <c r="M1217" s="21" t="s">
        <v>1253</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481</v>
      </c>
      <c r="H1218" s="59" t="str">
        <f>Table1[[#This Row],[Tabela]]&amp;Table1[[#This Row],[Campo]]</f>
        <v>lt827_mthd_usd_instrmntflg_fin</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481</v>
      </c>
      <c r="H1219" s="59" t="str">
        <f>Table1[[#This Row],[Tabela]]&amp;Table1[[#This Row],[Campo]]</f>
        <v>lt827_mthd_usd_instrmntflg_fin</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481</v>
      </c>
      <c r="H1220" s="59" t="str">
        <f>Table1[[#This Row],[Tabela]]&amp;Table1[[#This Row],[Campo]]</f>
        <v>lt827_mthd_usd_instrmntflg_fin</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1355</v>
      </c>
      <c r="H1221" s="59" t="str">
        <f>Table1[[#This Row],[Tabela]]&amp;Table1[[#This Row],[Campo]]</f>
        <v>lt827_mthd_usd_instrmntflg_exec</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1355</v>
      </c>
      <c r="H1222" s="59" t="str">
        <f>Table1[[#This Row],[Tabela]]&amp;Table1[[#This Row],[Campo]]</f>
        <v>lt827_mthd_usd_instrmntflg_exec</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1355</v>
      </c>
      <c r="H1223" s="59" t="str">
        <f>Table1[[#This Row],[Tabela]]&amp;Table1[[#This Row],[Campo]]</f>
        <v>lt827_mthd_usd_instrmntflg_exec</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480</v>
      </c>
      <c r="H1224" s="59" t="str">
        <f>Table1[[#This Row],[Tabela]]&amp;Table1[[#This Row],[Campo]]</f>
        <v>lt827_mthd_usd_instrmntflg_col</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480</v>
      </c>
      <c r="H1225" s="59" t="str">
        <f>Table1[[#This Row],[Tabela]]&amp;Table1[[#This Row],[Campo]]</f>
        <v>lt827_mthd_usd_instrmntflg_col</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480</v>
      </c>
      <c r="H1226" s="59" t="str">
        <f>Table1[[#This Row],[Tabela]]&amp;Table1[[#This Row],[Campo]]</f>
        <v>lt827_mthd_usd_instrmntflg_col</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482</v>
      </c>
      <c r="H1227" s="59" t="str">
        <f>Table1[[#This Row],[Tabela]]&amp;Table1[[#This Row],[Campo]]</f>
        <v>lt827_mthd_usd_instrmntflg_pro</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482</v>
      </c>
      <c r="H1228" s="59" t="str">
        <f>Table1[[#This Row],[Tabela]]&amp;Table1[[#This Row],[Campo]]</f>
        <v>lt827_mthd_usd_instrmntflg_pro</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482</v>
      </c>
      <c r="H1229" s="59" t="str">
        <f>Table1[[#This Row],[Tabela]]&amp;Table1[[#This Row],[Campo]]</f>
        <v>lt827_mthd_usd_instrmntflg_pro</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1246</v>
      </c>
      <c r="L1230" s="46" t="s">
        <v>1252</v>
      </c>
      <c r="M1230" s="21" t="s">
        <v>1253</v>
      </c>
      <c r="N1230" s="48">
        <v>45581</v>
      </c>
      <c r="O1230" s="21">
        <f>INDEX(Auxiliar!$D$5:$F$13,MATCH(Table1[[#This Row],[Tipologia_Testes]],Auxiliar!$B$5:$B$13,0),MATCH(Table1[[#This Row],[Complexidade]],Auxiliar!$D$4:$F$4,0))</f>
        <v>2</v>
      </c>
      <c r="P1230" s="43" t="s">
        <v>1335</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1247</v>
      </c>
      <c r="L1231" s="46" t="s">
        <v>1252</v>
      </c>
      <c r="M1231" s="21" t="s">
        <v>1253</v>
      </c>
      <c r="N1231" s="48">
        <v>45581</v>
      </c>
      <c r="O1231" s="21">
        <f>INDEX(Auxiliar!$D$5:$F$13,MATCH(Table1[[#This Row],[Tipologia_Testes]],Auxiliar!$B$5:$B$13,0),MATCH(Table1[[#This Row],[Complexidade]],Auxiliar!$D$4:$F$4,0))</f>
        <v>2</v>
      </c>
      <c r="P1231" s="43" t="s">
        <v>1335</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1249</v>
      </c>
      <c r="L1232" s="46" t="s">
        <v>1252</v>
      </c>
      <c r="M1232" s="21" t="s">
        <v>1253</v>
      </c>
      <c r="N1232" s="48">
        <v>45581</v>
      </c>
      <c r="O1232" s="21">
        <f>INDEX(Auxiliar!$D$5:$F$13,MATCH(Table1[[#This Row],[Tipologia_Testes]],Auxiliar!$B$5:$B$13,0),MATCH(Table1[[#This Row],[Complexidade]],Auxiliar!$D$4:$F$4,0))</f>
        <v>0.1</v>
      </c>
      <c r="P1232" s="43" t="s">
        <v>1335</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1251</v>
      </c>
      <c r="L1257" s="46" t="s">
        <v>1252</v>
      </c>
      <c r="M1257" s="21" t="s">
        <v>1253</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1251</v>
      </c>
      <c r="L1258" s="46" t="s">
        <v>1252</v>
      </c>
      <c r="M1258" s="21" t="s">
        <v>1253</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1251</v>
      </c>
      <c r="L1259" s="46" t="s">
        <v>1252</v>
      </c>
      <c r="M1259" s="21" t="s">
        <v>1253</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1251</v>
      </c>
      <c r="L1260" s="46" t="s">
        <v>1252</v>
      </c>
      <c r="M1260" s="21" t="s">
        <v>1253</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1251</v>
      </c>
      <c r="L1266" s="46" t="s">
        <v>1252</v>
      </c>
      <c r="M1266" s="21" t="s">
        <v>1253</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1251</v>
      </c>
      <c r="L1275" s="46" t="s">
        <v>1252</v>
      </c>
      <c r="M1275" s="21" t="s">
        <v>1253</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1948</v>
      </c>
      <c r="G1276" s="13" t="s">
        <v>419</v>
      </c>
      <c r="H1276" s="59" t="str">
        <f>Table1[[#This Row],[Tabela]]&amp;Table1[[#This Row],[Campo]]</f>
        <v>lt007_instr_activitysstnbl_indctr</v>
      </c>
      <c r="I1276" s="2" t="s">
        <v>613</v>
      </c>
      <c r="J1276" s="45">
        <f>VLOOKUP(Table1[[#This Row],[Status]],Auxiliar!$B$16:$C$24,2,0)</f>
        <v>1</v>
      </c>
      <c r="K1276" s="21" t="s">
        <v>1251</v>
      </c>
      <c r="L1276" s="46" t="s">
        <v>1252</v>
      </c>
      <c r="M1276" s="21" t="s">
        <v>1253</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1948</v>
      </c>
      <c r="G1277" s="13" t="s">
        <v>420</v>
      </c>
      <c r="H1277" s="59" t="str">
        <f>Table1[[#This Row],[Tabela]]&amp;Table1[[#This Row],[Campo]]</f>
        <v>lt007_instr_activitysstnbl_ctgry</v>
      </c>
      <c r="I1277" s="2" t="s">
        <v>615</v>
      </c>
      <c r="J1277" s="45">
        <f>VLOOKUP(Table1[[#This Row],[Status]],Auxiliar!$B$16:$C$24,2,0)</f>
        <v>5</v>
      </c>
      <c r="K1277" s="21" t="s">
        <v>1251</v>
      </c>
      <c r="L1277" s="46" t="s">
        <v>1252</v>
      </c>
      <c r="M1277" s="21" t="s">
        <v>1253</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1921</v>
      </c>
      <c r="J1278" s="45">
        <f>VLOOKUP(Table1[[#This Row],[Status]],Auxiliar!$B$16:$C$24,2,0)</f>
        <v>2</v>
      </c>
      <c r="K1278" s="21" t="s">
        <v>1251</v>
      </c>
      <c r="L1278" s="46" t="s">
        <v>1252</v>
      </c>
      <c r="M1278" s="21" t="s">
        <v>1253</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1921</v>
      </c>
      <c r="J1279" s="45">
        <f>VLOOKUP(Table1[[#This Row],[Status]],Auxiliar!$B$16:$C$24,2,0)</f>
        <v>2</v>
      </c>
      <c r="K1279" s="21" t="s">
        <v>1251</v>
      </c>
      <c r="L1279" s="46" t="s">
        <v>1252</v>
      </c>
      <c r="M1279" s="21" t="s">
        <v>1253</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1921</v>
      </c>
      <c r="J1280" s="45">
        <f>VLOOKUP(Table1[[#This Row],[Status]],Auxiliar!$B$16:$C$24,2,0)</f>
        <v>2</v>
      </c>
      <c r="K1280" s="21" t="s">
        <v>1251</v>
      </c>
      <c r="L1280" s="46" t="s">
        <v>1252</v>
      </c>
      <c r="M1280" s="21" t="s">
        <v>1253</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1251</v>
      </c>
      <c r="L1281" s="46" t="s">
        <v>1252</v>
      </c>
      <c r="M1281" s="21" t="s">
        <v>1253</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1251</v>
      </c>
      <c r="L1282" s="46" t="s">
        <v>1252</v>
      </c>
      <c r="M1282" s="21" t="s">
        <v>1253</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1251</v>
      </c>
      <c r="L1283" s="46" t="s">
        <v>1252</v>
      </c>
      <c r="M1283" s="21" t="s">
        <v>1253</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1251</v>
      </c>
      <c r="L1285" s="46" t="s">
        <v>1252</v>
      </c>
      <c r="M1285" s="21" t="s">
        <v>1253</v>
      </c>
      <c r="N1285" s="48">
        <v>45509</v>
      </c>
      <c r="O1285" s="113">
        <v>0.1</v>
      </c>
      <c r="P1285" s="2" t="s">
        <v>1359</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1251</v>
      </c>
      <c r="L1286" s="46" t="s">
        <v>1252</v>
      </c>
      <c r="M1286" s="21" t="s">
        <v>1253</v>
      </c>
      <c r="N1286" s="48">
        <v>45509</v>
      </c>
      <c r="O1286" s="113">
        <v>0.1</v>
      </c>
      <c r="P1286" s="2" t="s">
        <v>1359</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1251</v>
      </c>
      <c r="L1287" s="46" t="s">
        <v>1252</v>
      </c>
      <c r="M1287" s="21" t="s">
        <v>1253</v>
      </c>
      <c r="N1287" s="48">
        <v>45509</v>
      </c>
      <c r="O1287" s="113">
        <v>0.1</v>
      </c>
      <c r="P1287" s="2" t="s">
        <v>1359</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1251</v>
      </c>
      <c r="L1292" s="46" t="s">
        <v>1252</v>
      </c>
      <c r="M1292" s="21" t="s">
        <v>1253</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1251</v>
      </c>
      <c r="L1293" s="46" t="s">
        <v>1252</v>
      </c>
      <c r="M1293" s="21" t="s">
        <v>1253</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1251</v>
      </c>
      <c r="L1294" s="46" t="s">
        <v>1252</v>
      </c>
      <c r="M1294" s="21" t="s">
        <v>1253</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1251</v>
      </c>
      <c r="L1295" s="46" t="s">
        <v>1252</v>
      </c>
      <c r="M1295" s="21" t="s">
        <v>1253</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1251</v>
      </c>
      <c r="L1296" s="46" t="s">
        <v>1252</v>
      </c>
      <c r="M1296" s="21" t="s">
        <v>1253</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613</v>
      </c>
      <c r="J1297" s="45">
        <f>VLOOKUP(Table1[[#This Row],[Status]],Auxiliar!$B$16:$C$24,2,0)</f>
        <v>1</v>
      </c>
      <c r="K1297" s="21" t="s">
        <v>1251</v>
      </c>
      <c r="L1297" s="46" t="s">
        <v>1252</v>
      </c>
      <c r="M1297" s="21" t="s">
        <v>1253</v>
      </c>
      <c r="N1297" s="48">
        <v>45667</v>
      </c>
      <c r="O1297" s="113">
        <v>0.1</v>
      </c>
      <c r="P1297" s="2" t="s">
        <v>2015</v>
      </c>
      <c r="Q1297" s="152"/>
      <c r="R1297" s="152">
        <v>45603</v>
      </c>
      <c r="S1297" s="152"/>
      <c r="T1297" s="152">
        <v>45588</v>
      </c>
      <c r="U1297" s="152">
        <v>45624</v>
      </c>
      <c r="V1297" s="152">
        <v>45624</v>
      </c>
      <c r="W1297" s="2">
        <f>VLOOKUP(Table1[[#This Row],[Status]],Auxiliar!$B$16:$D$24,3,0)*Table1[[#This Row],[Estimação (horas)]]</f>
        <v>0.1</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1251</v>
      </c>
      <c r="L1298" s="46" t="s">
        <v>1252</v>
      </c>
      <c r="M1298" s="21" t="s">
        <v>1253</v>
      </c>
      <c r="N1298" s="48">
        <v>45649</v>
      </c>
      <c r="O1298" s="253">
        <v>0.1</v>
      </c>
      <c r="P1298" s="2" t="s">
        <v>2004</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613</v>
      </c>
      <c r="J1299" s="45">
        <f>VLOOKUP(Table1[[#This Row],[Status]],Auxiliar!$B$16:$C$24,2,0)</f>
        <v>1</v>
      </c>
      <c r="K1299" s="21" t="s">
        <v>1251</v>
      </c>
      <c r="L1299" s="46" t="s">
        <v>1252</v>
      </c>
      <c r="M1299" s="21" t="s">
        <v>1253</v>
      </c>
      <c r="N1299" s="48">
        <v>45667</v>
      </c>
      <c r="O1299" s="113">
        <v>0.1</v>
      </c>
      <c r="P1299" s="2"/>
      <c r="Q1299" s="152"/>
      <c r="R1299" s="152">
        <v>45589</v>
      </c>
      <c r="S1299" s="152"/>
      <c r="T1299" s="152">
        <v>45589</v>
      </c>
      <c r="U1299" s="152">
        <v>45624</v>
      </c>
      <c r="V1299" s="152">
        <v>45624</v>
      </c>
      <c r="W1299" s="2">
        <f>VLOOKUP(Table1[[#This Row],[Status]],Auxiliar!$B$16:$D$24,3,0)*Table1[[#This Row],[Estimação (horas)]]</f>
        <v>0.1</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1251</v>
      </c>
      <c r="L1300" s="46" t="s">
        <v>1252</v>
      </c>
      <c r="M1300" s="21" t="s">
        <v>1253</v>
      </c>
      <c r="N1300" s="48">
        <v>45590</v>
      </c>
      <c r="O1300" s="113">
        <v>0.1</v>
      </c>
      <c r="P1300" s="32" t="s">
        <v>1335</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1251</v>
      </c>
      <c r="L1301" s="46" t="s">
        <v>1252</v>
      </c>
      <c r="M1301" s="21" t="s">
        <v>1253</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1251</v>
      </c>
      <c r="L1302" s="46" t="s">
        <v>1252</v>
      </c>
      <c r="M1302" s="21" t="s">
        <v>1253</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1251</v>
      </c>
      <c r="L1303" s="46" t="s">
        <v>1252</v>
      </c>
      <c r="M1303" s="21" t="s">
        <v>1253</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1251</v>
      </c>
      <c r="L1306" s="46" t="s">
        <v>1252</v>
      </c>
      <c r="M1306" s="21" t="s">
        <v>1253</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1251</v>
      </c>
      <c r="L1307" s="46" t="s">
        <v>1252</v>
      </c>
      <c r="M1307" s="21" t="s">
        <v>1253</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1251</v>
      </c>
      <c r="L1308" s="46" t="s">
        <v>1252</v>
      </c>
      <c r="M1308" s="21" t="s">
        <v>1253</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1251</v>
      </c>
      <c r="L1310" s="46" t="s">
        <v>1252</v>
      </c>
      <c r="M1310" s="21" t="s">
        <v>1253</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1296</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1257</v>
      </c>
      <c r="L1311" s="21" t="s">
        <v>1264</v>
      </c>
      <c r="M1311" s="21" t="s">
        <v>1253</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1296</v>
      </c>
      <c r="E1312" s="2" t="s">
        <v>38</v>
      </c>
      <c r="F1312" s="2" t="s">
        <v>219</v>
      </c>
      <c r="G1312" s="13" t="s">
        <v>660</v>
      </c>
      <c r="H1312" s="59" t="str">
        <f>Table1[[#This Row],[Tabela]]&amp;Table1[[#This Row],[Campo]]</f>
        <v>modesg_inp_emss_nacearea_atividade</v>
      </c>
      <c r="I1312" s="2" t="s">
        <v>612</v>
      </c>
      <c r="J1312" s="45">
        <f>VLOOKUP(Table1[[#This Row],[Status]],Auxiliar!$B$16:$C$24,2,0)</f>
        <v>0</v>
      </c>
      <c r="K1312" s="21" t="s">
        <v>1257</v>
      </c>
      <c r="L1312" s="21" t="s">
        <v>1264</v>
      </c>
      <c r="M1312" s="21" t="s">
        <v>1253</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1296</v>
      </c>
      <c r="E1313" s="2" t="s">
        <v>38</v>
      </c>
      <c r="F1313" s="2" t="s">
        <v>219</v>
      </c>
      <c r="G1313" s="13" t="s">
        <v>661</v>
      </c>
      <c r="H1313" s="59" t="str">
        <f>Table1[[#This Row],[Tabela]]&amp;Table1[[#This Row],[Campo]]</f>
        <v>modesg_inp_emss_nacetipo_atividade</v>
      </c>
      <c r="I1313" s="2" t="s">
        <v>612</v>
      </c>
      <c r="J1313" s="45">
        <f>VLOOKUP(Table1[[#This Row],[Status]],Auxiliar!$B$16:$C$24,2,0)</f>
        <v>0</v>
      </c>
      <c r="K1313" s="21" t="s">
        <v>1257</v>
      </c>
      <c r="L1313" s="21" t="s">
        <v>1264</v>
      </c>
      <c r="M1313" s="21" t="s">
        <v>1253</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1296</v>
      </c>
      <c r="E1314" s="2" t="s">
        <v>38</v>
      </c>
      <c r="F1314" s="2" t="s">
        <v>219</v>
      </c>
      <c r="G1314" s="13" t="s">
        <v>662</v>
      </c>
      <c r="H1314" s="59" t="str">
        <f>Table1[[#This Row],[Tabela]]&amp;Table1[[#This Row],[Campo]]</f>
        <v>modesg_inp_emss_nacesub_tipo_atividade_1</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663</v>
      </c>
      <c r="H1315" s="59" t="str">
        <f>Table1[[#This Row],[Tabela]]&amp;Table1[[#This Row],[Campo]]</f>
        <v>modesg_inp_emss_nacesub_tipo_atividade_2</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664</v>
      </c>
      <c r="H1316" s="59" t="str">
        <f>Table1[[#This Row],[Tabela]]&amp;Table1[[#This Row],[Campo]]</f>
        <v>modesg_inp_emss_naceunidades_unidade_funcional</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665</v>
      </c>
      <c r="H1317" s="59" t="str">
        <f>Table1[[#This Row],[Tabela]]&amp;Table1[[#This Row],[Campo]]</f>
        <v>modesg_inp_emss_nacefator_emissao</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214</v>
      </c>
      <c r="G1318" s="13" t="s">
        <v>666</v>
      </c>
      <c r="H1318" s="59" t="str">
        <f>Table1[[#This Row],[Tabela]]&amp;Table1[[#This Row],[Campo]]</f>
        <v>modesg_inp_km_medios_emss_vclsmedia_scp1_emss</v>
      </c>
      <c r="I1318" s="2" t="s">
        <v>612</v>
      </c>
      <c r="J1318" s="45">
        <f>VLOOKUP(Table1[[#This Row],[Status]],Auxiliar!$B$16:$C$24,2,0)</f>
        <v>0</v>
      </c>
      <c r="K1318" s="21" t="s">
        <v>1257</v>
      </c>
      <c r="L1318" s="21" t="s">
        <v>1264</v>
      </c>
      <c r="M1318" s="21" t="s">
        <v>1253</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214</v>
      </c>
      <c r="G1319" s="13" t="s">
        <v>667</v>
      </c>
      <c r="H1319" s="59" t="str">
        <f>Table1[[#This Row],[Tabela]]&amp;Table1[[#This Row],[Campo]]</f>
        <v>modesg_inp_km_medios_emss_vclsmedia_scp2_emss</v>
      </c>
      <c r="I1319" s="2" t="s">
        <v>612</v>
      </c>
      <c r="J1319" s="45">
        <f>VLOOKUP(Table1[[#This Row],[Status]],Auxiliar!$B$16:$C$24,2,0)</f>
        <v>0</v>
      </c>
      <c r="K1319" s="21" t="s">
        <v>1257</v>
      </c>
      <c r="L1319" s="21" t="s">
        <v>1264</v>
      </c>
      <c r="M1319" s="21" t="s">
        <v>1253</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1296</v>
      </c>
      <c r="E1320" s="2" t="s">
        <v>38</v>
      </c>
      <c r="F1320" s="32" t="s">
        <v>214</v>
      </c>
      <c r="G1320" s="20" t="s">
        <v>668</v>
      </c>
      <c r="H1320" s="59" t="str">
        <f>Table1[[#This Row],[Tabela]]&amp;Table1[[#This Row],[Campo]]</f>
        <v>modesg_inp_km_medios_emss_vclsmedia_scp3_emss</v>
      </c>
      <c r="I1320" s="2" t="s">
        <v>612</v>
      </c>
      <c r="J1320" s="45">
        <f>VLOOKUP(Table1[[#This Row],[Status]],Auxiliar!$B$16:$C$24,2,0)</f>
        <v>0</v>
      </c>
      <c r="K1320" s="21" t="s">
        <v>1257</v>
      </c>
      <c r="L1320" s="21" t="s">
        <v>1264</v>
      </c>
      <c r="M1320" s="21" t="s">
        <v>1253</v>
      </c>
      <c r="N1320" s="48">
        <v>45491</v>
      </c>
      <c r="O1320" s="21">
        <f>INDEX(Auxiliar!$D$5:$F$13,MATCH(Table1[[#This Row],[Tipologia_Testes]],Auxiliar!$B$5:$B$13,0),MATCH(Table1[[#This Row],[Complexidade]],Auxiliar!$D$4:$F$4,0))</f>
        <v>0.5</v>
      </c>
      <c r="P1320" s="2" t="s">
        <v>1266</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9" operator="containsText" id="{F0FC3167-D078-4732-B252-F6CF35A33118}">
            <xm:f>NOT(ISERROR(SEARCH(Auxiliar!$B$21,I127)))</xm:f>
            <xm:f>Auxiliar!$B$21</xm:f>
            <x14:dxf>
              <font>
                <b/>
                <i val="0"/>
                <color rgb="FFFFC000"/>
              </font>
              <fill>
                <patternFill>
                  <bgColor theme="9" tint="0.59996337778862885"/>
                </patternFill>
              </fill>
            </x14:dxf>
          </x14:cfRule>
          <x14:cfRule type="cellIs" priority="140" operator="equal" id="{0DF84132-7044-4342-A136-5BB25A806900}">
            <xm:f>Auxiliar!$B$24</xm:f>
            <x14:dxf>
              <font>
                <b/>
                <i val="0"/>
                <color theme="1"/>
              </font>
              <fill>
                <patternFill patternType="darkUp">
                  <bgColor theme="0"/>
                </patternFill>
              </fill>
            </x14:dxf>
          </x14:cfRule>
          <x14:cfRule type="cellIs" priority="141" operator="equal" id="{0AA668F3-08F2-48AD-824F-FDAAFE4C3390}">
            <xm:f>Auxiliar!$B$18</xm:f>
            <x14:dxf>
              <font>
                <b/>
                <i val="0"/>
                <color theme="0" tint="-0.499984740745262"/>
              </font>
              <fill>
                <patternFill>
                  <bgColor theme="0" tint="-4.9989318521683403E-2"/>
                </patternFill>
              </fill>
            </x14:dxf>
          </x14:cfRule>
          <x14:cfRule type="containsText" priority="14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4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4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91" operator="containsText" id="{740F90F7-AB92-479A-85BF-13BAB76C3411}">
            <xm:f>NOT(ISERROR(SEARCH(Auxiliar!$B$21,I1014)))</xm:f>
            <xm:f>Auxiliar!$B$21</xm:f>
            <x14:dxf>
              <font>
                <b/>
                <i val="0"/>
                <color rgb="FFFFC000"/>
              </font>
              <fill>
                <patternFill>
                  <bgColor theme="9" tint="0.59996337778862885"/>
                </patternFill>
              </fill>
            </x14:dxf>
          </x14:cfRule>
          <x14:cfRule type="cellIs" priority="92" operator="equal" id="{88AE8B12-357A-4B8A-9319-781057D8ABD6}">
            <xm:f>Auxiliar!$B$24</xm:f>
            <x14:dxf>
              <font>
                <b/>
                <i val="0"/>
                <color theme="1"/>
              </font>
              <fill>
                <patternFill patternType="darkUp">
                  <bgColor theme="0"/>
                </patternFill>
              </fill>
            </x14:dxf>
          </x14:cfRule>
          <x14:cfRule type="cellIs" priority="93" operator="equal" id="{BC303029-A698-4297-8685-4F827375138C}">
            <xm:f>Auxiliar!$B$18</xm:f>
            <x14:dxf>
              <font>
                <b/>
                <i val="0"/>
                <color theme="0" tint="-0.499984740745262"/>
              </font>
              <fill>
                <patternFill>
                  <bgColor theme="0" tint="-4.9989318521683403E-2"/>
                </patternFill>
              </fill>
            </x14:dxf>
          </x14:cfRule>
          <x14:cfRule type="containsText" priority="9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9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9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3" operator="containsText" id="{F48B2BF5-6845-4309-99E8-30933C9EE615}">
            <xm:f>NOT(ISERROR(SEARCH(Auxiliar!$B$21,I1080)))</xm:f>
            <xm:f>Auxiliar!$B$21</xm:f>
            <x14:dxf>
              <font>
                <b/>
                <i val="0"/>
                <color rgb="FFFFC000"/>
              </font>
              <fill>
                <patternFill>
                  <bgColor theme="9" tint="0.59996337778862885"/>
                </patternFill>
              </fill>
            </x14:dxf>
          </x14:cfRule>
          <x14:cfRule type="cellIs" priority="74" operator="equal" id="{13D25AAA-9E27-4596-8161-C1D8B229FB78}">
            <xm:f>Auxiliar!$B$24</xm:f>
            <x14:dxf>
              <font>
                <b/>
                <i val="0"/>
                <color theme="1"/>
              </font>
              <fill>
                <patternFill patternType="darkUp">
                  <bgColor theme="0"/>
                </patternFill>
              </fill>
            </x14:dxf>
          </x14:cfRule>
          <x14:cfRule type="cellIs" priority="75" operator="equal" id="{22B4EADE-6286-4A66-8996-D7CA931879E6}">
            <xm:f>Auxiliar!$B$18</xm:f>
            <x14:dxf>
              <font>
                <b/>
                <i val="0"/>
                <color theme="0" tint="-0.499984740745262"/>
              </font>
              <fill>
                <patternFill>
                  <bgColor theme="0" tint="-4.9989318521683403E-2"/>
                </patternFill>
              </fill>
            </x14:dxf>
          </x14:cfRule>
          <x14:cfRule type="containsText" priority="7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7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78" operator="containsText" id="{5D1F0C29-4DCB-4FAB-A3CE-17A3E4B54DB4}">
            <xm:f>NOT(ISERROR(SEARCH(Auxiliar!$B$16,I1080)))</xm:f>
            <xm:f>Auxiliar!$B$16</xm:f>
            <x14:dxf>
              <font>
                <b/>
                <i val="0"/>
                <color theme="7"/>
              </font>
              <fill>
                <patternFill>
                  <bgColor theme="7" tint="0.79998168889431442"/>
                </patternFill>
              </fill>
            </x14:dxf>
          </x14:cfRule>
          <xm:sqref>I1080:I1097 I1110:I1145</xm:sqref>
        </x14:conditionalFormatting>
        <x14:conditionalFormatting xmlns:xm="http://schemas.microsoft.com/office/excel/2006/main">
          <x14:cfRule type="containsText" priority="67" operator="containsText" id="{5ED364A6-7788-43B4-ABBB-E3185B87783C}">
            <xm:f>NOT(ISERROR(SEARCH(Auxiliar!$B$21,I1170)))</xm:f>
            <xm:f>Auxiliar!$B$21</xm:f>
            <x14:dxf>
              <font>
                <b/>
                <i val="0"/>
                <color rgb="FFFFC000"/>
              </font>
              <fill>
                <patternFill>
                  <bgColor theme="9" tint="0.59996337778862885"/>
                </patternFill>
              </fill>
            </x14:dxf>
          </x14:cfRule>
          <x14:cfRule type="cellIs" priority="68" operator="equal" id="{CC216F48-AEAC-42B0-BAEF-B859E88448DD}">
            <xm:f>Auxiliar!$B$24</xm:f>
            <x14:dxf>
              <font>
                <b/>
                <i val="0"/>
                <color theme="1"/>
              </font>
              <fill>
                <patternFill patternType="darkUp">
                  <bgColor theme="0"/>
                </patternFill>
              </fill>
            </x14:dxf>
          </x14:cfRule>
          <x14:cfRule type="cellIs" priority="69" operator="equal" id="{23819E92-56C5-4D3E-B9E1-67FDD9E7882C}">
            <xm:f>Auxiliar!$B$18</xm:f>
            <x14:dxf>
              <font>
                <b/>
                <i val="0"/>
                <color theme="0" tint="-0.499984740745262"/>
              </font>
              <fill>
                <patternFill>
                  <bgColor theme="0" tint="-4.9989318521683403E-2"/>
                </patternFill>
              </fill>
            </x14:dxf>
          </x14:cfRule>
          <x14:cfRule type="containsText" priority="7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7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7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7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I1257:J1277 J1152:J1154 I1146:J1151 I1155:J1169 I347:J1013</xm:sqref>
        </x14:conditionalFormatting>
        <x14:conditionalFormatting xmlns:xm="http://schemas.microsoft.com/office/excel/2006/main">
          <x14:cfRule type="containsText" priority="115" operator="containsText" id="{818B4E3F-A611-4A6A-A815-B804D1E3C747}">
            <xm:f>NOT(ISERROR(SEARCH(Auxiliar!$B$21,I1186)))</xm:f>
            <xm:f>Auxiliar!$B$21</xm:f>
            <x14:dxf>
              <font>
                <b/>
                <i val="0"/>
                <color rgb="FFFFC000"/>
              </font>
              <fill>
                <patternFill>
                  <bgColor theme="9" tint="0.59996337778862885"/>
                </patternFill>
              </fill>
            </x14:dxf>
          </x14:cfRule>
          <x14:cfRule type="cellIs" priority="116" operator="equal" id="{49F42230-2FF0-42CE-B047-38469DF4FF91}">
            <xm:f>Auxiliar!$B$24</xm:f>
            <x14:dxf>
              <font>
                <b/>
                <i val="0"/>
                <color theme="1"/>
              </font>
              <fill>
                <patternFill patternType="darkUp">
                  <bgColor theme="0"/>
                </patternFill>
              </fill>
            </x14:dxf>
          </x14:cfRule>
          <x14:cfRule type="cellIs" priority="117" operator="equal" id="{340814F4-4DC4-4851-925E-2EA110D79ECA}">
            <xm:f>Auxiliar!$B$18</xm:f>
            <x14:dxf>
              <font>
                <b/>
                <i val="0"/>
                <color theme="0" tint="-0.499984740745262"/>
              </font>
              <fill>
                <patternFill>
                  <bgColor theme="0" tint="-4.9989318521683403E-2"/>
                </patternFill>
              </fill>
            </x14:dxf>
          </x14:cfRule>
          <x14:cfRule type="containsText" priority="11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11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12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529" operator="containsText" id="{EA64DC1C-861B-48F8-9621-E598024B99B0}">
            <xm:f>NOT(ISERROR(SEARCH(Auxiliar!$B$21,I1294)))</xm:f>
            <xm:f>Auxiliar!$B$21</xm:f>
            <x14:dxf>
              <font>
                <b/>
                <i val="0"/>
                <color rgb="FFFFC000"/>
              </font>
              <fill>
                <patternFill>
                  <bgColor theme="9" tint="0.59996337778862885"/>
                </patternFill>
              </fill>
            </x14:dxf>
          </x14:cfRule>
          <x14:cfRule type="cellIs" priority="530" operator="equal" id="{839A85C4-8947-4392-8D52-FE7821AB5714}">
            <xm:f>Auxiliar!$B$24</xm:f>
            <x14:dxf>
              <font>
                <b/>
                <i val="0"/>
                <color theme="1"/>
              </font>
              <fill>
                <patternFill patternType="darkUp">
                  <bgColor theme="0"/>
                </patternFill>
              </fill>
            </x14:dxf>
          </x14:cfRule>
          <x14:cfRule type="cellIs" priority="531" operator="equal" id="{AFCEA854-203F-4E0E-9E0B-A825AA0A5D6E}">
            <xm:f>Auxiliar!$B$18</xm:f>
            <x14:dxf>
              <font>
                <b/>
                <i val="0"/>
                <color theme="0" tint="-0.499984740745262"/>
              </font>
              <fill>
                <patternFill>
                  <bgColor theme="0" tint="-4.9989318521683403E-2"/>
                </patternFill>
              </fill>
            </x14:dxf>
          </x14:cfRule>
          <x14:cfRule type="containsText" priority="53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3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3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523" operator="containsText" id="{22EE3303-E871-4FDC-B876-3AC40B4BB29E}">
            <xm:f>NOT(ISERROR(SEARCH(Auxiliar!$B$21,I9)))</xm:f>
            <xm:f>Auxiliar!$B$21</xm:f>
            <x14:dxf>
              <font>
                <b/>
                <i val="0"/>
                <color rgb="FFFFC000"/>
              </font>
              <fill>
                <patternFill>
                  <bgColor theme="9" tint="0.59996337778862885"/>
                </patternFill>
              </fill>
            </x14:dxf>
          </x14:cfRule>
          <x14:cfRule type="cellIs" priority="524" operator="equal" id="{A75C795E-F66D-4DC2-A9AF-15BDCED7DA25}">
            <xm:f>Auxiliar!$B$24</xm:f>
            <x14:dxf>
              <font>
                <b/>
                <i val="0"/>
                <color theme="1"/>
              </font>
              <fill>
                <patternFill patternType="darkUp">
                  <bgColor theme="0"/>
                </patternFill>
              </fill>
            </x14:dxf>
          </x14:cfRule>
          <x14:cfRule type="cellIs" priority="525" operator="equal" id="{68C7A1CE-73C7-4D91-A2AC-1493C4E277DD}">
            <xm:f>Auxiliar!$B$18</xm:f>
            <x14:dxf>
              <font>
                <b/>
                <i val="0"/>
                <color theme="0" tint="-0.499984740745262"/>
              </font>
              <fill>
                <patternFill>
                  <bgColor theme="0" tint="-4.9989318521683403E-2"/>
                </patternFill>
              </fill>
            </x14:dxf>
          </x14:cfRule>
          <x14:cfRule type="containsText" priority="52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2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2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07" operator="containsText" id="{6928D489-0130-4A60-BE2B-1D9108B02454}">
            <xm:f>NOT(ISERROR(SEARCH(Auxiliar!$B$21,I130)))</xm:f>
            <xm:f>Auxiliar!$B$21</xm:f>
            <x14:dxf>
              <font>
                <b/>
                <i val="0"/>
                <color rgb="FFFFC000"/>
              </font>
              <fill>
                <patternFill>
                  <bgColor theme="9" tint="0.59996337778862885"/>
                </patternFill>
              </fill>
            </x14:dxf>
          </x14:cfRule>
          <x14:cfRule type="cellIs" priority="608" operator="equal" id="{E2F14AF0-878C-4184-86EE-1EC72D11FF82}">
            <xm:f>Auxiliar!$B$24</xm:f>
            <x14:dxf>
              <font>
                <b/>
                <i val="0"/>
                <color theme="1"/>
              </font>
              <fill>
                <patternFill patternType="darkUp">
                  <bgColor theme="0"/>
                </patternFill>
              </fill>
            </x14:dxf>
          </x14:cfRule>
          <x14:cfRule type="cellIs" priority="609" operator="equal" id="{662C2D77-73A6-422E-B043-D39190EAAFD3}">
            <xm:f>Auxiliar!$B$18</xm:f>
            <x14:dxf>
              <font>
                <b/>
                <i val="0"/>
                <color theme="0" tint="-0.499984740745262"/>
              </font>
              <fill>
                <patternFill>
                  <bgColor theme="0" tint="-4.9989318521683403E-2"/>
                </patternFill>
              </fill>
            </x14:dxf>
          </x14:cfRule>
          <x14:cfRule type="containsText" priority="61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1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1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74" operator="equal" id="{461BEC2A-3AB6-4974-9160-0CC657CD83C0}">
            <xm:f>Auxiliar!$B$24</xm:f>
            <x14:dxf>
              <font>
                <b/>
                <i val="0"/>
                <color theme="1"/>
              </font>
              <fill>
                <patternFill patternType="darkUp">
                  <bgColor theme="0"/>
                </patternFill>
              </fill>
            </x14:dxf>
          </x14:cfRule>
          <x14:cfRule type="cellIs" priority="1141" operator="equal" id="{5CC18A3F-CC0C-4983-A19C-E91C49A3DB8A}">
            <xm:f>Auxiliar!$B$18</xm:f>
            <x14:dxf>
              <font>
                <b/>
                <i val="0"/>
                <color theme="0" tint="-0.499984740745262"/>
              </font>
              <fill>
                <patternFill>
                  <bgColor theme="0" tint="-4.9989318521683403E-2"/>
                </patternFill>
              </fill>
            </x14:dxf>
          </x14:cfRule>
          <x14:cfRule type="containsText" priority="114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4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4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I1257:J1277 J1152:J1154 I1146:J1151 I1155:J1169 I347:J1013</xm:sqref>
        </x14:conditionalFormatting>
        <x14:conditionalFormatting xmlns:xm="http://schemas.microsoft.com/office/excel/2006/main">
          <x14:cfRule type="containsText" priority="499" operator="containsText" id="{B9BA2292-98F1-4845-8262-A781D9352444}">
            <xm:f>NOT(ISERROR(SEARCH(Auxiliar!$B$21,J127)))</xm:f>
            <xm:f>Auxiliar!$B$21</xm:f>
            <x14:dxf>
              <font>
                <b/>
                <i val="0"/>
                <color rgb="FFFFC000"/>
              </font>
              <fill>
                <patternFill>
                  <bgColor theme="9" tint="0.59996337778862885"/>
                </patternFill>
              </fill>
            </x14:dxf>
          </x14:cfRule>
          <x14:cfRule type="cellIs" priority="500" operator="equal" id="{D32B9961-C82B-426A-A975-2475FFC80C76}">
            <xm:f>Auxiliar!$B$24</xm:f>
            <x14:dxf>
              <font>
                <b/>
                <i val="0"/>
                <color theme="1"/>
              </font>
              <fill>
                <patternFill patternType="darkUp">
                  <bgColor theme="0"/>
                </patternFill>
              </fill>
            </x14:dxf>
          </x14:cfRule>
          <x14:cfRule type="cellIs" priority="501" operator="equal" id="{EE9F5D7D-A515-4B4F-859E-E804329C9CE0}">
            <xm:f>Auxiliar!$B$18</xm:f>
            <x14:dxf>
              <font>
                <b/>
                <i val="0"/>
                <color theme="0" tint="-0.499984740745262"/>
              </font>
              <fill>
                <patternFill>
                  <bgColor theme="0" tint="-4.9989318521683403E-2"/>
                </patternFill>
              </fill>
            </x14:dxf>
          </x14:cfRule>
          <x14:cfRule type="containsText" priority="50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0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0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25" operator="containsText" id="{576165AC-18FE-49D8-90D0-249BF5B7AAD2}">
            <xm:f>NOT(ISERROR(SEARCH(Auxiliar!$B$21,J326)))</xm:f>
            <xm:f>Auxiliar!$B$21</xm:f>
            <x14:dxf>
              <font>
                <b/>
                <i val="0"/>
                <color rgb="FFFFC000"/>
              </font>
              <fill>
                <patternFill>
                  <bgColor theme="9" tint="0.59996337778862885"/>
                </patternFill>
              </fill>
            </x14:dxf>
          </x14:cfRule>
          <x14:cfRule type="cellIs" priority="626" operator="equal" id="{2BEF1854-999B-428C-B198-117A6D75B6CF}">
            <xm:f>Auxiliar!$B$24</xm:f>
            <x14:dxf>
              <font>
                <b/>
                <i val="0"/>
                <color theme="1"/>
              </font>
              <fill>
                <patternFill patternType="darkUp">
                  <bgColor theme="0"/>
                </patternFill>
              </fill>
            </x14:dxf>
          </x14:cfRule>
          <x14:cfRule type="cellIs" priority="627" operator="equal" id="{82150E9C-7DB3-4C92-B25A-09099C09088C}">
            <xm:f>Auxiliar!$B$18</xm:f>
            <x14:dxf>
              <font>
                <b/>
                <i val="0"/>
                <color theme="0" tint="-0.499984740745262"/>
              </font>
              <fill>
                <patternFill>
                  <bgColor theme="0" tint="-4.9989318521683403E-2"/>
                </patternFill>
              </fill>
            </x14:dxf>
          </x14:cfRule>
          <x14:cfRule type="containsText" priority="62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2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3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61" operator="containsText" id="{DF181235-FA9E-40EA-A648-292B48022DA0}">
            <xm:f>NOT(ISERROR(SEARCH(Auxiliar!$B$21,I1278)))</xm:f>
            <xm:f>Auxiliar!$B$21</xm:f>
            <x14:dxf>
              <font>
                <b/>
                <i val="0"/>
                <color rgb="FFFFC000"/>
              </font>
              <fill>
                <patternFill>
                  <bgColor theme="9" tint="0.59996337778862885"/>
                </patternFill>
              </fill>
            </x14:dxf>
          </x14:cfRule>
          <x14:cfRule type="cellIs" priority="62" operator="equal" id="{9C7C6505-25DE-4647-8F2A-4962829050E1}">
            <xm:f>Auxiliar!$B$24</xm:f>
            <x14:dxf>
              <font>
                <b/>
                <i val="0"/>
                <color theme="1"/>
              </font>
              <fill>
                <patternFill patternType="darkUp">
                  <bgColor theme="0"/>
                </patternFill>
              </fill>
            </x14:dxf>
          </x14:cfRule>
          <x14:cfRule type="cellIs" priority="63" operator="equal" id="{3CFB144F-84F5-4773-AE43-EF621B2D2154}">
            <xm:f>Auxiliar!$B$18</xm:f>
            <x14:dxf>
              <font>
                <b/>
                <i val="0"/>
                <color theme="0" tint="-0.499984740745262"/>
              </font>
              <fill>
                <patternFill>
                  <bgColor theme="0" tint="-4.9989318521683403E-2"/>
                </patternFill>
              </fill>
            </x14:dxf>
          </x14:cfRule>
          <x14:cfRule type="containsText" priority="6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6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6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55" operator="containsText" id="{823160F8-9997-4794-9B4E-C576A6FE222D}">
            <xm:f>NOT(ISERROR(SEARCH(Auxiliar!$B$21,I326)))</xm:f>
            <xm:f>Auxiliar!$B$21</xm:f>
            <x14:dxf>
              <font>
                <b/>
                <i val="0"/>
                <color rgb="FFFFC000"/>
              </font>
              <fill>
                <patternFill>
                  <bgColor theme="9" tint="0.59996337778862885"/>
                </patternFill>
              </fill>
            </x14:dxf>
          </x14:cfRule>
          <x14:cfRule type="cellIs" priority="56" operator="equal" id="{C1156D3F-4924-4518-B96A-5B9AA8B5BE50}">
            <xm:f>Auxiliar!$B$24</xm:f>
            <x14:dxf>
              <font>
                <b/>
                <i val="0"/>
                <color theme="1"/>
              </font>
              <fill>
                <patternFill patternType="darkUp">
                  <bgColor theme="0"/>
                </patternFill>
              </fill>
            </x14:dxf>
          </x14:cfRule>
          <x14:cfRule type="cellIs" priority="57" operator="equal" id="{BD765773-A292-448A-90DA-70399168E638}">
            <xm:f>Auxiliar!$B$18</xm:f>
            <x14:dxf>
              <font>
                <b/>
                <i val="0"/>
                <color theme="0" tint="-0.499984740745262"/>
              </font>
              <fill>
                <patternFill>
                  <bgColor theme="0" tint="-4.9989318521683403E-2"/>
                </patternFill>
              </fill>
            </x14:dxf>
          </x14:cfRule>
          <x14:cfRule type="containsText" priority="5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5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6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49" operator="containsText" id="{2C9A8ECC-40D2-4BF8-9013-94EF4681BA37}">
            <xm:f>NOT(ISERROR(SEARCH(Auxiliar!$B$21,I1074)))</xm:f>
            <xm:f>Auxiliar!$B$21</xm:f>
            <x14:dxf>
              <font>
                <b/>
                <i val="0"/>
                <color rgb="FFFFC000"/>
              </font>
              <fill>
                <patternFill>
                  <bgColor theme="9" tint="0.59996337778862885"/>
                </patternFill>
              </fill>
            </x14:dxf>
          </x14:cfRule>
          <x14:cfRule type="cellIs" priority="50" operator="equal" id="{59A9144D-6CCA-4414-829D-6E250F57C9C1}">
            <xm:f>Auxiliar!$B$24</xm:f>
            <x14:dxf>
              <font>
                <b/>
                <i val="0"/>
                <color theme="1"/>
              </font>
              <fill>
                <patternFill patternType="darkUp">
                  <bgColor theme="0"/>
                </patternFill>
              </fill>
            </x14:dxf>
          </x14:cfRule>
          <x14:cfRule type="cellIs" priority="51" operator="equal" id="{E214B4E9-46D7-4587-9E1C-3B66F94D73F5}">
            <xm:f>Auxiliar!$B$18</xm:f>
            <x14:dxf>
              <font>
                <b/>
                <i val="0"/>
                <color theme="0" tint="-0.499984740745262"/>
              </font>
              <fill>
                <patternFill>
                  <bgColor theme="0" tint="-4.9989318521683403E-2"/>
                </patternFill>
              </fill>
            </x14:dxf>
          </x14:cfRule>
          <x14:cfRule type="containsText" priority="5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5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43" operator="containsText" id="{95C8CC35-B63E-4B6E-978B-89C7B3BB0D0F}">
            <xm:f>NOT(ISERROR(SEARCH(Auxiliar!$B$21,I1298)))</xm:f>
            <xm:f>Auxiliar!$B$21</xm:f>
            <x14:dxf>
              <font>
                <b/>
                <i val="0"/>
                <color rgb="FFFFC000"/>
              </font>
              <fill>
                <patternFill>
                  <bgColor theme="9" tint="0.59996337778862885"/>
                </patternFill>
              </fill>
            </x14:dxf>
          </x14:cfRule>
          <x14:cfRule type="cellIs" priority="44" operator="equal" id="{2CF4FBE2-212B-4B8E-A4FF-359DE385C765}">
            <xm:f>Auxiliar!$B$24</xm:f>
            <x14:dxf>
              <font>
                <b/>
                <i val="0"/>
                <color theme="1"/>
              </font>
              <fill>
                <patternFill patternType="darkUp">
                  <bgColor theme="0"/>
                </patternFill>
              </fill>
            </x14:dxf>
          </x14:cfRule>
          <x14:cfRule type="cellIs" priority="45" operator="equal" id="{DFAEB673-DE6E-4608-B609-F2F737B60C9A}">
            <xm:f>Auxiliar!$B$18</xm:f>
            <x14:dxf>
              <font>
                <b/>
                <i val="0"/>
                <color theme="0" tint="-0.499984740745262"/>
              </font>
              <fill>
                <patternFill>
                  <bgColor theme="0" tint="-4.9989318521683403E-2"/>
                </patternFill>
              </fill>
            </x14:dxf>
          </x14:cfRule>
          <x14:cfRule type="containsText" priority="4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4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48" operator="containsText" id="{6141A62C-659B-4A19-9663-DFF6F5A7812C}">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25" operator="containsText" id="{670F9BD4-6E72-4C8A-9DE6-6D760ABE2EF2}">
            <xm:f>NOT(ISERROR(SEARCH(Auxiliar!$B$21,I1152)))</xm:f>
            <xm:f>Auxiliar!$B$21</xm:f>
            <x14:dxf>
              <font>
                <b/>
                <i val="0"/>
                <color rgb="FFFFC000"/>
              </font>
              <fill>
                <patternFill>
                  <bgColor theme="9" tint="0.59996337778862885"/>
                </patternFill>
              </fill>
            </x14:dxf>
          </x14:cfRule>
          <x14:cfRule type="cellIs" priority="26" operator="equal" id="{A21A7634-FA0B-4602-AFC1-02F4105C6810}">
            <xm:f>Auxiliar!$B$24</xm:f>
            <x14:dxf>
              <font>
                <b/>
                <i val="0"/>
                <color theme="1"/>
              </font>
              <fill>
                <patternFill patternType="darkUp">
                  <bgColor theme="0"/>
                </patternFill>
              </fill>
            </x14:dxf>
          </x14:cfRule>
          <x14:cfRule type="cellIs" priority="27" operator="equal" id="{6FE9802C-F381-43CA-A21F-54F14A81F8B2}">
            <xm:f>Auxiliar!$B$18</xm:f>
            <x14:dxf>
              <font>
                <b/>
                <i val="0"/>
                <color theme="0" tint="-0.499984740745262"/>
              </font>
              <fill>
                <patternFill>
                  <bgColor theme="0" tint="-4.9989318521683403E-2"/>
                </patternFill>
              </fill>
            </x14:dxf>
          </x14:cfRule>
          <x14:cfRule type="containsText" priority="28" operator="containsText" id="{3F557497-5FC7-4369-843E-84988C61F081}">
            <xm:f>NOT(ISERROR(SEARCH(Auxiliar!$B$22,I1152)))</xm:f>
            <xm:f>Auxiliar!$B$22</xm:f>
            <x14:dxf>
              <font>
                <b/>
                <i val="0"/>
                <color rgb="FFC00000"/>
              </font>
              <fill>
                <patternFill>
                  <bgColor theme="4" tint="0.79998168889431442"/>
                </patternFill>
              </fill>
            </x14:dxf>
          </x14:cfRule>
          <x14:cfRule type="containsText" priority="29" operator="containsText" id="{268E68D1-CAFE-4DB2-86A7-B86374BA2AC6}">
            <xm:f>NOT(ISERROR(SEARCH(Auxiliar!$B$19,I1152)))</xm:f>
            <xm:f>Auxiliar!$B$19</xm:f>
            <x14:dxf>
              <font>
                <b/>
                <i val="0"/>
                <color theme="9" tint="-0.499984740745262"/>
              </font>
              <fill>
                <patternFill>
                  <bgColor theme="9" tint="0.79998168889431442"/>
                </patternFill>
              </fill>
            </x14:dxf>
          </x14:cfRule>
          <x14:cfRule type="containsText" priority="30" operator="containsText" id="{36383A9E-1DBC-409A-B9CC-1EFA73D81E81}">
            <xm:f>NOT(ISERROR(SEARCH(Auxiliar!$B$16,I1152)))</xm:f>
            <xm:f>Auxiliar!$B$16</xm:f>
            <x14:dxf>
              <font>
                <b/>
                <i val="0"/>
                <color theme="7"/>
              </font>
              <fill>
                <patternFill>
                  <bgColor theme="7" tint="0.79998168889431442"/>
                </patternFill>
              </fill>
            </x14:dxf>
          </x14:cfRule>
          <xm:sqref>I1152</xm:sqref>
        </x14:conditionalFormatting>
        <x14:conditionalFormatting xmlns:xm="http://schemas.microsoft.com/office/excel/2006/main">
          <x14:cfRule type="containsText" priority="19" operator="containsText" id="{6142BEC0-530B-491C-A9B0-54D3FDEFA333}">
            <xm:f>NOT(ISERROR(SEARCH(Auxiliar!$B$21,I1153)))</xm:f>
            <xm:f>Auxiliar!$B$21</xm:f>
            <x14:dxf>
              <font>
                <b/>
                <i val="0"/>
                <color rgb="FFFFC000"/>
              </font>
              <fill>
                <patternFill>
                  <bgColor theme="9" tint="0.59996337778862885"/>
                </patternFill>
              </fill>
            </x14:dxf>
          </x14:cfRule>
          <x14:cfRule type="cellIs" priority="20" operator="equal" id="{358F6D0A-F9F7-465B-A1B9-1F10C2092035}">
            <xm:f>Auxiliar!$B$24</xm:f>
            <x14:dxf>
              <font>
                <b/>
                <i val="0"/>
                <color theme="1"/>
              </font>
              <fill>
                <patternFill patternType="darkUp">
                  <bgColor theme="0"/>
                </patternFill>
              </fill>
            </x14:dxf>
          </x14:cfRule>
          <x14:cfRule type="cellIs" priority="21" operator="equal" id="{0F0BF42A-65A3-4A1C-A9D9-C3D22AEF3526}">
            <xm:f>Auxiliar!$B$18</xm:f>
            <x14:dxf>
              <font>
                <b/>
                <i val="0"/>
                <color theme="0" tint="-0.499984740745262"/>
              </font>
              <fill>
                <patternFill>
                  <bgColor theme="0" tint="-4.9989318521683403E-2"/>
                </patternFill>
              </fill>
            </x14:dxf>
          </x14:cfRule>
          <x14:cfRule type="containsText" priority="22" operator="containsText" id="{AB275E1F-B651-4730-8321-08DD63466F62}">
            <xm:f>NOT(ISERROR(SEARCH(Auxiliar!$B$22,I1153)))</xm:f>
            <xm:f>Auxiliar!$B$22</xm:f>
            <x14:dxf>
              <font>
                <b/>
                <i val="0"/>
                <color rgb="FFC00000"/>
              </font>
              <fill>
                <patternFill>
                  <bgColor theme="4" tint="0.79998168889431442"/>
                </patternFill>
              </fill>
            </x14:dxf>
          </x14:cfRule>
          <x14:cfRule type="containsText" priority="23" operator="containsText" id="{6108E5DA-0A6D-46D4-AB08-0967CF535CB3}">
            <xm:f>NOT(ISERROR(SEARCH(Auxiliar!$B$19,I1153)))</xm:f>
            <xm:f>Auxiliar!$B$19</xm:f>
            <x14:dxf>
              <font>
                <b/>
                <i val="0"/>
                <color theme="9" tint="-0.499984740745262"/>
              </font>
              <fill>
                <patternFill>
                  <bgColor theme="9" tint="0.79998168889431442"/>
                </patternFill>
              </fill>
            </x14:dxf>
          </x14:cfRule>
          <x14:cfRule type="containsText" priority="24" operator="containsText" id="{26B8B3B0-7C1C-4390-8CA5-1A701CAA1D5E}">
            <xm:f>NOT(ISERROR(SEARCH(Auxiliar!$B$16,I1153)))</xm:f>
            <xm:f>Auxiliar!$B$16</xm:f>
            <x14:dxf>
              <font>
                <b/>
                <i val="0"/>
                <color theme="7"/>
              </font>
              <fill>
                <patternFill>
                  <bgColor theme="7" tint="0.79998168889431442"/>
                </patternFill>
              </fill>
            </x14:dxf>
          </x14:cfRule>
          <xm:sqref>I1153:I1154</xm:sqref>
        </x14:conditionalFormatting>
        <x14:conditionalFormatting xmlns:xm="http://schemas.microsoft.com/office/excel/2006/main">
          <x14:cfRule type="containsText" priority="13" operator="containsText" id="{41D9C7DC-0343-4880-92C3-E9E5E74035D0}">
            <xm:f>NOT(ISERROR(SEARCH(Auxiliar!$B$21,I1299)))</xm:f>
            <xm:f>Auxiliar!$B$21</xm:f>
            <x14:dxf>
              <font>
                <b/>
                <i val="0"/>
                <color rgb="FFFFC000"/>
              </font>
              <fill>
                <patternFill>
                  <bgColor theme="9" tint="0.59996337778862885"/>
                </patternFill>
              </fill>
            </x14:dxf>
          </x14:cfRule>
          <x14:cfRule type="cellIs" priority="14" operator="equal" id="{1312F701-7E73-45EE-AB28-2D9E99DC8EF2}">
            <xm:f>Auxiliar!$B$24</xm:f>
            <x14:dxf>
              <font>
                <b/>
                <i val="0"/>
                <color theme="1"/>
              </font>
              <fill>
                <patternFill patternType="darkUp">
                  <bgColor theme="0"/>
                </patternFill>
              </fill>
            </x14:dxf>
          </x14:cfRule>
          <x14:cfRule type="cellIs" priority="15" operator="equal" id="{D2E876AF-8F02-4700-85A4-0261345B6B8E}">
            <xm:f>Auxiliar!$B$18</xm:f>
            <x14:dxf>
              <font>
                <b/>
                <i val="0"/>
                <color theme="0" tint="-0.499984740745262"/>
              </font>
              <fill>
                <patternFill>
                  <bgColor theme="0" tint="-4.9989318521683403E-2"/>
                </patternFill>
              </fill>
            </x14:dxf>
          </x14:cfRule>
          <x14:cfRule type="containsText" priority="16" operator="containsText" id="{7A9B92B3-1F4F-4AF2-915D-9BF9328E602D}">
            <xm:f>NOT(ISERROR(SEARCH(Auxiliar!$B$22,I1299)))</xm:f>
            <xm:f>Auxiliar!$B$22</xm:f>
            <x14:dxf>
              <font>
                <b/>
                <i val="0"/>
                <color rgb="FFC00000"/>
              </font>
              <fill>
                <patternFill>
                  <bgColor theme="4" tint="0.79998168889431442"/>
                </patternFill>
              </fill>
            </x14:dxf>
          </x14:cfRule>
          <x14:cfRule type="containsText" priority="17" operator="containsText" id="{21659B19-9605-4A88-B735-022CDBEDA910}">
            <xm:f>NOT(ISERROR(SEARCH(Auxiliar!$B$19,I1299)))</xm:f>
            <xm:f>Auxiliar!$B$19</xm:f>
            <x14:dxf>
              <font>
                <b/>
                <i val="0"/>
                <color theme="9" tint="-0.499984740745262"/>
              </font>
              <fill>
                <patternFill>
                  <bgColor theme="9" tint="0.79998168889431442"/>
                </patternFill>
              </fill>
            </x14:dxf>
          </x14:cfRule>
          <x14:cfRule type="containsText" priority="18" operator="containsText" id="{400C445E-1A34-4FCD-9B79-6D519EC39E7E}">
            <xm:f>NOT(ISERROR(SEARCH(Auxiliar!$B$16,I1299)))</xm:f>
            <xm:f>Auxiliar!$B$16</xm:f>
            <x14:dxf>
              <font>
                <b/>
                <i val="0"/>
                <color theme="7"/>
              </font>
              <fill>
                <patternFill>
                  <bgColor theme="7" tint="0.79998168889431442"/>
                </patternFill>
              </fill>
            </x14:dxf>
          </x14:cfRule>
          <xm:sqref>I1299</xm:sqref>
        </x14:conditionalFormatting>
        <x14:conditionalFormatting xmlns:xm="http://schemas.microsoft.com/office/excel/2006/main">
          <x14:cfRule type="containsText" priority="7" operator="containsText" id="{2894A03C-3E5F-44BE-8B6E-722E39F9710E}">
            <xm:f>NOT(ISERROR(SEARCH(Auxiliar!$B$21,I1297)))</xm:f>
            <xm:f>Auxiliar!$B$21</xm:f>
            <x14:dxf>
              <font>
                <b/>
                <i val="0"/>
                <color rgb="FFFFC000"/>
              </font>
              <fill>
                <patternFill>
                  <bgColor theme="9" tint="0.59996337778862885"/>
                </patternFill>
              </fill>
            </x14:dxf>
          </x14:cfRule>
          <x14:cfRule type="cellIs" priority="8" operator="equal" id="{EB5D0CD7-AEBB-44EB-B1FA-46E6B515B772}">
            <xm:f>Auxiliar!$B$24</xm:f>
            <x14:dxf>
              <font>
                <b/>
                <i val="0"/>
                <color theme="1"/>
              </font>
              <fill>
                <patternFill patternType="darkUp">
                  <bgColor theme="0"/>
                </patternFill>
              </fill>
            </x14:dxf>
          </x14:cfRule>
          <x14:cfRule type="cellIs" priority="9" operator="equal" id="{71888C3E-3039-46F4-B52E-38A7B2E9EBE7}">
            <xm:f>Auxiliar!$B$18</xm:f>
            <x14:dxf>
              <font>
                <b/>
                <i val="0"/>
                <color theme="0" tint="-0.499984740745262"/>
              </font>
              <fill>
                <patternFill>
                  <bgColor theme="0" tint="-4.9989318521683403E-2"/>
                </patternFill>
              </fill>
            </x14:dxf>
          </x14:cfRule>
          <x14:cfRule type="containsText" priority="10" operator="containsText" id="{E06D4046-F08F-4120-941B-B0477FD33D17}">
            <xm:f>NOT(ISERROR(SEARCH(Auxiliar!$B$22,I1297)))</xm:f>
            <xm:f>Auxiliar!$B$22</xm:f>
            <x14:dxf>
              <font>
                <b/>
                <i val="0"/>
                <color rgb="FFC00000"/>
              </font>
              <fill>
                <patternFill>
                  <bgColor theme="4" tint="0.79998168889431442"/>
                </patternFill>
              </fill>
            </x14:dxf>
          </x14:cfRule>
          <x14:cfRule type="containsText" priority="11" operator="containsText" id="{15423AE7-3867-4E7E-A4F6-E0615B5BC45B}">
            <xm:f>NOT(ISERROR(SEARCH(Auxiliar!$B$19,I1297)))</xm:f>
            <xm:f>Auxiliar!$B$19</xm:f>
            <x14:dxf>
              <font>
                <b/>
                <i val="0"/>
                <color theme="9" tint="-0.499984740745262"/>
              </font>
              <fill>
                <patternFill>
                  <bgColor theme="9" tint="0.79998168889431442"/>
                </patternFill>
              </fill>
            </x14:dxf>
          </x14:cfRule>
          <x14:cfRule type="containsText" priority="12" operator="containsText" id="{EA7B4AB5-08EC-4F26-8A35-523E69125988}">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E3BB2710-C741-4DF5-8D19-1B415C19CE71}">
            <xm:f>NOT(ISERROR(SEARCH(Auxiliar!$B$21,I1101)))</xm:f>
            <xm:f>Auxiliar!$B$21</xm:f>
            <x14:dxf>
              <font>
                <b/>
                <i val="0"/>
                <color rgb="FFFFC000"/>
              </font>
              <fill>
                <patternFill>
                  <bgColor theme="9" tint="0.59996337778862885"/>
                </patternFill>
              </fill>
            </x14:dxf>
          </x14:cfRule>
          <x14:cfRule type="cellIs" priority="2" operator="equal" id="{0B3DA3C8-A704-493D-B3A5-F25FEE5B8F3C}">
            <xm:f>Auxiliar!$B$24</xm:f>
            <x14:dxf>
              <font>
                <b/>
                <i val="0"/>
                <color theme="1"/>
              </font>
              <fill>
                <patternFill patternType="darkUp">
                  <bgColor theme="0"/>
                </patternFill>
              </fill>
            </x14:dxf>
          </x14:cfRule>
          <x14:cfRule type="cellIs" priority="3" operator="equal" id="{126B789A-B4AA-48A3-9BA6-9AEFBDA12DBB}">
            <xm:f>Auxiliar!$B$18</xm:f>
            <x14:dxf>
              <font>
                <b/>
                <i val="0"/>
                <color theme="0" tint="-0.499984740745262"/>
              </font>
              <fill>
                <patternFill>
                  <bgColor theme="0" tint="-4.9989318521683403E-2"/>
                </patternFill>
              </fill>
            </x14:dxf>
          </x14:cfRule>
          <x14:cfRule type="containsText" priority="4" operator="containsText" id="{388E322F-83D3-4274-BB6D-D4B938523A2C}">
            <xm:f>NOT(ISERROR(SEARCH(Auxiliar!$B$22,I1101)))</xm:f>
            <xm:f>Auxiliar!$B$22</xm:f>
            <x14:dxf>
              <font>
                <b/>
                <i val="0"/>
                <color rgb="FFC00000"/>
              </font>
              <fill>
                <patternFill>
                  <bgColor theme="4" tint="0.79998168889431442"/>
                </patternFill>
              </fill>
            </x14:dxf>
          </x14:cfRule>
          <x14:cfRule type="containsText" priority="5" operator="containsText" id="{E2642AA8-541C-4663-8184-7A99020AC5CA}">
            <xm:f>NOT(ISERROR(SEARCH(Auxiliar!$B$19,I1101)))</xm:f>
            <xm:f>Auxiliar!$B$19</xm:f>
            <x14:dxf>
              <font>
                <b/>
                <i val="0"/>
                <color theme="9" tint="-0.499984740745262"/>
              </font>
              <fill>
                <patternFill>
                  <bgColor theme="9" tint="0.79998168889431442"/>
                </patternFill>
              </fill>
            </x14:dxf>
          </x14:cfRule>
          <x14:cfRule type="containsText" priority="6" operator="containsText" id="{C51B6767-566A-4856-BF48-9F9941D8CCE2}">
            <xm:f>NOT(ISERROR(SEARCH(Auxiliar!$B$16,I1101)))</xm:f>
            <xm:f>Auxiliar!$B$16</xm:f>
            <x14:dxf>
              <font>
                <b/>
                <i val="0"/>
                <color theme="7"/>
              </font>
              <fill>
                <patternFill>
                  <bgColor theme="7" tint="0.79998168889431442"/>
                </patternFill>
              </fill>
            </x14:dxf>
          </x14:cfRule>
          <xm:sqref>I1101:I1109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 t="shared" ref="C19:C24" si="0">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 t="shared" si="0"/>
        <v>0</v>
      </c>
      <c r="D24" s="96">
        <v>0</v>
      </c>
      <c r="E24" s="96">
        <v>0</v>
      </c>
    </row>
  </sheetData>
  <conditionalFormatting sqref="B16:B24">
    <cfRule type="cellIs" dxfId="9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opLeftCell="A135" zoomScale="70" zoomScaleNormal="70" workbookViewId="0">
      <selection activeCell="E217" sqref="E217"/>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SUM(Y17:Y253)</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SUM(AY17:AY253)</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2019</v>
      </c>
      <c r="J15" s="266" t="s">
        <v>2019</v>
      </c>
      <c r="K15" s="266" t="s">
        <v>2019</v>
      </c>
      <c r="L15" s="266" t="s">
        <v>2019</v>
      </c>
      <c r="M15" s="266" t="s">
        <v>2019</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2021</v>
      </c>
      <c r="K16" s="214" t="s">
        <v>2022</v>
      </c>
      <c r="L16" s="319" t="s">
        <v>1999</v>
      </c>
      <c r="M16" s="319" t="s">
        <v>2000</v>
      </c>
      <c r="N16" s="319" t="s">
        <v>2020</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WORKDAY(BT16,1)</f>
        <v>45658</v>
      </c>
      <c r="BV16" s="321">
        <f t="shared" ref="BV16:BY16" si="5">WORKDAY(BU16,1)</f>
        <v>45659</v>
      </c>
      <c r="BW16" s="321">
        <f t="shared" si="5"/>
        <v>45660</v>
      </c>
      <c r="BX16" s="321">
        <f t="shared" si="5"/>
        <v>45663</v>
      </c>
      <c r="BY16" s="321">
        <f t="shared" si="5"/>
        <v>45664</v>
      </c>
      <c r="BZ16" s="321">
        <f>WORKDAY(BY16,1)</f>
        <v>45665</v>
      </c>
      <c r="CA16" s="321">
        <f t="shared" ref="CA16:CD16" si="6">WORKDAY(BZ16,1)</f>
        <v>45666</v>
      </c>
      <c r="CB16" s="321">
        <f t="shared" si="6"/>
        <v>45667</v>
      </c>
      <c r="CC16" s="321">
        <f t="shared" si="6"/>
        <v>45670</v>
      </c>
      <c r="CD16" s="321">
        <f t="shared" si="6"/>
        <v>45671</v>
      </c>
      <c r="CE16" s="321">
        <f>WORKDAY(CD16,1)</f>
        <v>45672</v>
      </c>
      <c r="CF16" s="321">
        <f t="shared" ref="CF16:CI16" si="7">WORKDAY(CE16,1)</f>
        <v>45673</v>
      </c>
      <c r="CG16" s="321">
        <f t="shared" si="7"/>
        <v>45674</v>
      </c>
      <c r="CH16" s="321">
        <f t="shared" si="7"/>
        <v>45677</v>
      </c>
      <c r="CI16" s="321">
        <f t="shared" si="7"/>
        <v>45678</v>
      </c>
    </row>
    <row r="17" spans="1:87" ht="15" customHeight="1">
      <c r="A17" s="274"/>
      <c r="B17" s="142" t="s">
        <v>26</v>
      </c>
      <c r="C17" s="138" t="s">
        <v>26</v>
      </c>
      <c r="D17" s="134"/>
      <c r="E17" s="241" t="s">
        <v>380</v>
      </c>
      <c r="F17" s="239" t="s">
        <v>1972</v>
      </c>
      <c r="G17" s="240">
        <f>COUNTA(G18)</f>
        <v>1</v>
      </c>
      <c r="H17" s="295" t="s">
        <v>2005</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2005</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1945</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1945</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1945</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1945</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1945</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1945</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1945</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1945</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2005</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2067</v>
      </c>
      <c r="G44" s="240">
        <f>COUNTA(G45:G45)</f>
        <v>1</v>
      </c>
      <c r="H44" s="294" t="s">
        <v>2061</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 ca="1" si="18">O44-P44</f>
        <v>-0.75</v>
      </c>
      <c r="R44" s="262" t="s">
        <v>2062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2005</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1945</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1945</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1945</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2005</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24">O50-P50</f>
        <v>0</v>
      </c>
      <c r="R50" s="262" t="s">
        <v>2018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1949</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1949</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1949</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1949</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1949</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1949</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1949</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1949</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1949</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1949</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2005</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9">O61-P61</f>
        <v>0</v>
      </c>
      <c r="R61" s="262" t="s">
        <v>2018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1299</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2005</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t="shared" ref="Q77:Q79" ca="1" si="39">O77-P77</f>
        <v>0</v>
      </c>
      <c r="R77" s="262" t="s">
        <v>2018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2005</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41">O80-P80</f>
        <v>0</v>
      </c>
      <c r="R80" s="374" t="s">
        <v>2042</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2017</v>
      </c>
      <c r="G83" s="240">
        <f>COUNTA(G84:G85)</f>
        <v>2</v>
      </c>
      <c r="H83" s="275" t="s">
        <v>2011</v>
      </c>
      <c r="I83" s="278">
        <f>MAX(I84:I85)</f>
        <v>45635</v>
      </c>
      <c r="J83" s="277">
        <f>MIN(J84:J85)</f>
        <v>0</v>
      </c>
      <c r="K83" s="277">
        <f>MIN(K84:K85)</f>
        <v>0</v>
      </c>
      <c r="L83" s="277">
        <f>MIN(L84:L85)</f>
        <v>45628</v>
      </c>
      <c r="M83" s="278">
        <f>MAX(M84:M85)</f>
        <v>45639</v>
      </c>
      <c r="N83" s="323">
        <f t="array" ref="N83">MAX(IF(W83:CI83&gt;0,$W$16:$CI$16))</f>
        <v>45667</v>
      </c>
      <c r="O83" s="314">
        <f>SUMPRODUCT(O84:O85,U84:U85)/SUM(U84:U85)</f>
        <v>1</v>
      </c>
      <c r="P83" s="314">
        <f ca="1">SUMPRODUCT(P84:P85,U84:U85)/SUM(U84:U85)</f>
        <v>1</v>
      </c>
      <c r="Q83" s="247">
        <f t="shared" ca="1" si="41"/>
        <v>0</v>
      </c>
      <c r="R83" s="262" t="s">
        <v>2058</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1. Concluído</v>
      </c>
      <c r="I84" s="325">
        <v>45635</v>
      </c>
      <c r="J84" s="324"/>
      <c r="K84" s="324"/>
      <c r="L84" s="290">
        <f t="array" ref="L84">MIN(IF(W84:CI84&gt;0,$W$16:$CI$16))</f>
        <v>45628</v>
      </c>
      <c r="M84" s="291">
        <f t="array" ref="M84">MAX(IF(W84:CI84&gt;0,$W$16:$CI$16))</f>
        <v>45639</v>
      </c>
      <c r="N84" s="291"/>
      <c r="O84" s="248">
        <f>VLOOKUP(H84,Auxiliar!$B$16:$E$24,4,0)</f>
        <v>1</v>
      </c>
      <c r="P84" s="248">
        <f t="shared" ref="P84:P87" ca="1" si="43">IF(TODAY()&lt;=L84,0,MIN((TODAY()-L84)/(M84-L84+1),100%))</f>
        <v>1</v>
      </c>
      <c r="Q84" s="248">
        <f t="shared" ref="Q84:Q87" ca="1" si="44">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1. Concluído</v>
      </c>
      <c r="I85" s="325">
        <v>45635</v>
      </c>
      <c r="J85" s="324"/>
      <c r="K85" s="324"/>
      <c r="L85" s="290">
        <f t="array" ref="L85">MIN(IF(W85:CI85&gt;0,$W$16:$CI$16))</f>
        <v>45629</v>
      </c>
      <c r="M85" s="291">
        <f t="array" ref="M85">MAX(IF(W85:CI85&gt;0,$W$16:$CI$16))</f>
        <v>45639</v>
      </c>
      <c r="N85" s="291"/>
      <c r="O85" s="248">
        <f>VLOOKUP(H85,Auxiliar!$B$16:$E$24,4,0)</f>
        <v>1</v>
      </c>
      <c r="P85" s="248">
        <f t="shared" ref="P85" ca="1" si="45">IF(TODAY()&lt;=L85,0,MIN((TODAY()-L85)/(M85-L85+1),100%))</f>
        <v>1</v>
      </c>
      <c r="Q85" s="248">
        <f t="shared" ref="Q85" ca="1" si="46">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2017</v>
      </c>
      <c r="G86" s="240">
        <f>COUNTA(G87)</f>
        <v>1</v>
      </c>
      <c r="H86" s="295" t="s">
        <v>2005</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41"/>
        <v>0</v>
      </c>
      <c r="R86" s="374" t="s">
        <v>2051</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2005</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41"/>
        <v>0</v>
      </c>
      <c r="R88" s="374" t="s">
        <v>2042</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2044</v>
      </c>
      <c r="G92" s="240">
        <f>COUNTA(G93)</f>
        <v>1</v>
      </c>
      <c r="H92" s="295" t="s">
        <v>2005</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41"/>
        <v>0</v>
      </c>
      <c r="R92" s="374" t="s">
        <v>2059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t="shared" ref="P93" ca="1" si="48">IF(TODAY()&lt;=L93,0,MIN((TODAY()-L93)/(M93-L93+1),100%))</f>
        <v>1</v>
      </c>
      <c r="Q93" s="248">
        <f t="shared" ref="Q93:Q94" ca="1" si="49">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2045</v>
      </c>
      <c r="G94" s="240">
        <f>COUNTA(G95)</f>
        <v>1</v>
      </c>
      <c r="H94" s="295" t="s">
        <v>2005</v>
      </c>
      <c r="I94" s="304">
        <v>45636</v>
      </c>
      <c r="J94" s="277">
        <f>MIN(J95)</f>
        <v>0</v>
      </c>
      <c r="K94" s="277">
        <f>MIN(K95)</f>
        <v>0</v>
      </c>
      <c r="L94" s="277">
        <f>MIN(L95)</f>
        <v>45630</v>
      </c>
      <c r="M94" s="278">
        <f>MAX(M95)</f>
        <v>45639</v>
      </c>
      <c r="N94" s="323">
        <f t="array" ref="N94">MAX(IF(W94:CI94&gt;0,$W$16:$CI$16))</f>
        <v>45646</v>
      </c>
      <c r="O94" s="322">
        <f>O95</f>
        <v>1</v>
      </c>
      <c r="P94" s="322">
        <f ca="1">P95</f>
        <v>1</v>
      </c>
      <c r="Q94" s="256">
        <f t="shared" ca="1" si="49"/>
        <v>0</v>
      </c>
      <c r="R94" s="374" t="s">
        <v>2059</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t="shared" ref="P95" ca="1" si="50">IF(TODAY()&lt;=L95,0,MIN((TODAY()-L95)/(M95-L95+1),100%))</f>
        <v>1</v>
      </c>
      <c r="Q95" s="248">
        <f t="shared" ref="Q95" ca="1" si="51">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2046</v>
      </c>
      <c r="G96" s="240">
        <f>COUNTA(G97)</f>
        <v>1</v>
      </c>
      <c r="H96" s="295" t="s">
        <v>2005</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41"/>
        <v>0</v>
      </c>
      <c r="R96" s="374" t="s">
        <v>2051</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1993</v>
      </c>
      <c r="G98" s="240">
        <f>COUNTA(G99:G101)</f>
        <v>3</v>
      </c>
      <c r="H98" s="295" t="s">
        <v>2005</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41"/>
        <v>0</v>
      </c>
      <c r="R98" s="374" t="s">
        <v>2042</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1993</v>
      </c>
      <c r="G102" s="240">
        <f>COUNTA(G103)</f>
        <v>1</v>
      </c>
      <c r="H102" s="295" t="s">
        <v>2005</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t="shared" ref="Q102" ca="1" si="54">O102-P102</f>
        <v>0</v>
      </c>
      <c r="R102" s="374" t="s">
        <v>2051</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2044</v>
      </c>
      <c r="G104" s="240">
        <f>COUNTA(G105)</f>
        <v>1</v>
      </c>
      <c r="H104" s="275" t="s">
        <v>2011</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t="shared" ca="1" si="56"/>
        <v>-1</v>
      </c>
      <c r="R104" s="262" t="s">
        <v>2043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2005</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41"/>
        <v>0</v>
      </c>
      <c r="R106" s="374" t="s">
        <v>2050</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3"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3"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3"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3"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3"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3"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3"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3"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3"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3"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3"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3"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3"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3"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2005</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41"/>
        <v>0</v>
      </c>
      <c r="R121" s="374" t="s">
        <v>2059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t="shared" ref="P122" ca="1" si="64">IF(TODAY()&lt;=L122,0,MIN((TODAY()-L122)/(M122-L122+1),100%))</f>
        <v>1</v>
      </c>
      <c r="Q122" s="248">
        <f t="shared" ca="1" si="41"/>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2017</v>
      </c>
      <c r="G123" s="240">
        <f>COUNTA(G124:G127)</f>
        <v>4</v>
      </c>
      <c r="H123" s="295" t="s">
        <v>2005</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41"/>
        <v>0</v>
      </c>
      <c r="R123" s="374" t="s">
        <v>2042</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1945</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1945</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1945</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1945</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2049</v>
      </c>
      <c r="G128" s="240">
        <f>COUNTA(G129:G130)</f>
        <v>2</v>
      </c>
      <c r="H128" s="295" t="s">
        <v>2005</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1</v>
      </c>
      <c r="P128" s="322">
        <f ca="1">SUMPRODUCT(P129:P130,U129:U130)/SUM(U129:U130)</f>
        <v>1</v>
      </c>
      <c r="Q128" s="256">
        <f t="shared" ref="Q128:Q203" ca="1" si="67">O128-P128</f>
        <v>0</v>
      </c>
      <c r="R128" s="374" t="s">
        <v>2050</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8">IF(TODAY()&lt;=L129,0,MIN((TODAY()-L129)/(M129-L129+1),100%))</f>
        <v>1</v>
      </c>
      <c r="Q129" s="247">
        <f t="shared" ca="1" si="67"/>
        <v>0</v>
      </c>
      <c r="R129" s="261"/>
      <c r="S129" s="280"/>
      <c r="T129" s="270">
        <v>4.0999999999999996</v>
      </c>
      <c r="U129" s="270">
        <f>ROUND(T129/8,1)</f>
        <v>0.5</v>
      </c>
      <c r="V129" s="270">
        <f t="shared" ref="V129:V134"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4"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2049</v>
      </c>
      <c r="G131" s="240">
        <f>COUNTA(G132:G134)</f>
        <v>3</v>
      </c>
      <c r="H131" s="295" t="s">
        <v>2005</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0.25</v>
      </c>
      <c r="P131" s="322">
        <f ca="1">SUMPRODUCT(P132:P134,U132:U134)/SUM(U132:U134)</f>
        <v>1</v>
      </c>
      <c r="Q131" s="256">
        <f t="shared" ref="Q131" ca="1" si="72">O131-P131</f>
        <v>-0.75</v>
      </c>
      <c r="R131" s="262" t="s">
        <v>2052</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3">E132&amp;G132</f>
        <v>lt003_entitygrp_emssns_scp1</v>
      </c>
      <c r="B132" s="142" t="s">
        <v>26</v>
      </c>
      <c r="C132" s="138" t="s">
        <v>26</v>
      </c>
      <c r="D132" s="235" t="s">
        <v>40</v>
      </c>
      <c r="E132" s="238" t="s">
        <v>336</v>
      </c>
      <c r="F132" s="238"/>
      <c r="G132" s="238" t="s">
        <v>366</v>
      </c>
      <c r="H132" s="235" t="str">
        <f>VLOOKUP(A132,'2. Status Detalhe Campos'!$A$7:$G$574,7,0)</f>
        <v>2.1 Em Teste</v>
      </c>
      <c r="I132" s="285">
        <v>45588</v>
      </c>
      <c r="J132" s="301">
        <v>45596</v>
      </c>
      <c r="K132" s="285">
        <v>45596</v>
      </c>
      <c r="L132" s="290">
        <f t="array" ref="L132">MIN(IF(W132:CI132&gt;0,$W$16:$CI$16))</f>
        <v>45639</v>
      </c>
      <c r="M132" s="291">
        <f t="array" ref="M132">MAX(IF(W132:CI132&gt;0,$W$16:$CI$16))</f>
        <v>45639</v>
      </c>
      <c r="N132" s="291"/>
      <c r="O132" s="248">
        <f>VLOOKUP(H132,Auxiliar!$B$16:$E$24,4,0)</f>
        <v>0.25</v>
      </c>
      <c r="P132" s="248">
        <f t="shared" ref="P132:P133" ca="1" si="74">IF(TODAY()&lt;=L132,0,MIN((TODAY()-L132)/(M132-L132+1),100%))</f>
        <v>1</v>
      </c>
      <c r="Q132" s="247">
        <f t="shared" ref="Q132:Q133" ca="1" si="75">O132-P132</f>
        <v>-0.75</v>
      </c>
      <c r="R132" s="374" t="s">
        <v>2060</v>
      </c>
      <c r="S132" s="280"/>
      <c r="T132" s="270">
        <v>4.0999999999999996</v>
      </c>
      <c r="U132" s="270">
        <f t="shared" ref="U132:U133" si="76">ROUND(T132/8,1)</f>
        <v>0.5</v>
      </c>
      <c r="V132" s="270">
        <f t="shared" ref="V132:V133" si="77">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3"/>
        <v>lt003_entitygrp_emssns_scp2</v>
      </c>
      <c r="B133" s="142" t="s">
        <v>26</v>
      </c>
      <c r="C133" s="138" t="s">
        <v>26</v>
      </c>
      <c r="D133" s="235" t="s">
        <v>40</v>
      </c>
      <c r="E133" s="238" t="s">
        <v>336</v>
      </c>
      <c r="F133" s="238"/>
      <c r="G133" s="238" t="s">
        <v>367</v>
      </c>
      <c r="H133" s="235" t="str">
        <f>VLOOKUP(A133,'2. Status Detalhe Campos'!$A$7:$G$574,7,0)</f>
        <v>2.1 Em Teste</v>
      </c>
      <c r="I133" s="285">
        <v>45588</v>
      </c>
      <c r="J133" s="301">
        <v>45596</v>
      </c>
      <c r="K133" s="285">
        <v>45596</v>
      </c>
      <c r="L133" s="290">
        <f t="array" ref="L133">MIN(IF(W133:CI133&gt;0,$W$16:$CI$16))</f>
        <v>45639</v>
      </c>
      <c r="M133" s="291">
        <f t="array" ref="M133">MAX(IF(W133:CI133&gt;0,$W$16:$CI$16))</f>
        <v>45639</v>
      </c>
      <c r="N133" s="291"/>
      <c r="O133" s="248">
        <f>VLOOKUP(H133,Auxiliar!$B$16:$E$24,4,0)</f>
        <v>0.25</v>
      </c>
      <c r="P133" s="248">
        <f t="shared" ca="1" si="74"/>
        <v>1</v>
      </c>
      <c r="Q133" s="247">
        <f t="shared" ca="1" si="75"/>
        <v>-0.75</v>
      </c>
      <c r="R133" s="261"/>
      <c r="S133" s="280"/>
      <c r="T133" s="270">
        <v>4.0999999999999996</v>
      </c>
      <c r="U133" s="270">
        <f t="shared" si="76"/>
        <v>0.5</v>
      </c>
      <c r="V133" s="270">
        <f t="shared" si="77"/>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70"/>
        <v>lt003_entitygrp_emssns_scp3</v>
      </c>
      <c r="B134" s="142" t="s">
        <v>26</v>
      </c>
      <c r="C134" s="138" t="s">
        <v>26</v>
      </c>
      <c r="D134" s="235" t="s">
        <v>40</v>
      </c>
      <c r="E134" s="238" t="s">
        <v>336</v>
      </c>
      <c r="F134" s="238"/>
      <c r="G134" s="238" t="s">
        <v>368</v>
      </c>
      <c r="H134" s="235" t="str">
        <f>VLOOKUP(A134,'2. Status Detalhe Campos'!$A$7:$G$574,7,0)</f>
        <v>2.1 Em Teste</v>
      </c>
      <c r="I134" s="285">
        <v>45588</v>
      </c>
      <c r="J134" s="301">
        <v>45596</v>
      </c>
      <c r="K134" s="285">
        <v>45596</v>
      </c>
      <c r="L134" s="290">
        <f t="array" ref="L134">MIN(IF(W134:CI134&gt;0,$W$16:$CI$16))</f>
        <v>45639</v>
      </c>
      <c r="M134" s="291">
        <f t="array" ref="M134">MAX(IF(W134:CI134&gt;0,$W$16:$CI$16))</f>
        <v>45639</v>
      </c>
      <c r="N134" s="291"/>
      <c r="O134" s="248">
        <f>VLOOKUP(H134,Auxiliar!$B$16:$E$24,4,0)</f>
        <v>0.25</v>
      </c>
      <c r="P134" s="248">
        <f t="shared" ca="1" si="68"/>
        <v>1</v>
      </c>
      <c r="Q134" s="247">
        <f t="shared" ca="1" si="67"/>
        <v>-0.75</v>
      </c>
      <c r="R134" s="261"/>
      <c r="S134" s="280"/>
      <c r="T134" s="270">
        <v>4.0999999999999996</v>
      </c>
      <c r="U134" s="270">
        <f t="shared" si="71"/>
        <v>0.5</v>
      </c>
      <c r="V134" s="270">
        <f t="shared" si="69"/>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2023</v>
      </c>
      <c r="G135" s="240">
        <f>COUNTA(G136:G137)</f>
        <v>2</v>
      </c>
      <c r="H135" s="295" t="s">
        <v>2005</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68"/>
        <v>1</v>
      </c>
      <c r="Q135" s="256">
        <f t="shared" ref="Q135" ca="1" si="78">O135-P135</f>
        <v>0</v>
      </c>
      <c r="R135" s="374" t="s">
        <v>2050</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9">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1972</v>
      </c>
      <c r="G138" s="240">
        <f>COUNTA(G139)</f>
        <v>1</v>
      </c>
      <c r="H138" s="295" t="s">
        <v>2005</v>
      </c>
      <c r="I138" s="276" t="s">
        <v>38</v>
      </c>
      <c r="J138" s="277">
        <f>MIN(J139:J145)</f>
        <v>45614</v>
      </c>
      <c r="K138" s="277">
        <f>MIN(K139:K156)</f>
        <v>45596</v>
      </c>
      <c r="L138" s="277">
        <f>MIN(L139:L156)</f>
        <v>45625</v>
      </c>
      <c r="M138" s="278">
        <f>MAX(M139:M156)</f>
        <v>45667</v>
      </c>
      <c r="N138" s="323">
        <f t="array" ref="N138">MAX(IF(W138:CI138&gt;0,$W$16:$CI$16))</f>
        <v>45646</v>
      </c>
      <c r="O138" s="322">
        <f>O139</f>
        <v>1</v>
      </c>
      <c r="P138" s="322">
        <f ca="1">P139</f>
        <v>1</v>
      </c>
      <c r="Q138" s="256">
        <f t="shared" ref="Q138:Q164" ca="1" si="80">O138-P138</f>
        <v>0</v>
      </c>
      <c r="R138" s="374" t="s">
        <v>2059</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81">E139&amp;G139</f>
        <v>modesg_out_empr_info_nfincod_nace_esg</v>
      </c>
      <c r="B139" s="142" t="s">
        <v>26</v>
      </c>
      <c r="C139" s="138" t="s">
        <v>311</v>
      </c>
      <c r="D139" s="235" t="s">
        <v>40</v>
      </c>
      <c r="E139" s="236" t="s">
        <v>326</v>
      </c>
      <c r="F139" s="236"/>
      <c r="G139" s="237" t="s">
        <v>282</v>
      </c>
      <c r="H139" s="235" t="str">
        <f>VLOOKUP(A139,'2. Status Detalhe Campos'!$A$7:$G$574,7,0)</f>
        <v>1. Concluído</v>
      </c>
      <c r="I139" s="276" t="s">
        <v>38</v>
      </c>
      <c r="J139" s="285">
        <v>45614</v>
      </c>
      <c r="K139" s="285">
        <v>45615</v>
      </c>
      <c r="L139" s="290">
        <f t="array" ref="L139">MIN(IF(W139:CI139&gt;0,$W$16:$CI$16))</f>
        <v>45646</v>
      </c>
      <c r="M139" s="291">
        <f t="array" ref="M139">MAX(IF(W139:CI139&gt;0,$W$16:$CI$16))</f>
        <v>45646</v>
      </c>
      <c r="N139" s="291"/>
      <c r="O139" s="248">
        <f>VLOOKUP(H139,Auxiliar!$B$16:$E$24,4,0)</f>
        <v>1</v>
      </c>
      <c r="P139" s="248">
        <f t="shared" ref="P139:P145" ca="1" si="82">IF(TODAY()&lt;=L139,0,MIN((TODAY()-L139)/(M139-L139+1),100%))</f>
        <v>1</v>
      </c>
      <c r="Q139" s="247">
        <f t="shared" ca="1" si="80"/>
        <v>0</v>
      </c>
      <c r="R139" s="262" t="s">
        <v>38</v>
      </c>
      <c r="S139" s="280"/>
      <c r="T139" s="270">
        <v>16.100000000000001</v>
      </c>
      <c r="U139" s="270">
        <f t="shared" ref="U139:U145" si="83">ROUND(T139/8,1)</f>
        <v>2</v>
      </c>
      <c r="V139" s="270">
        <f t="shared" ref="V139:V145" si="84">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1996</v>
      </c>
      <c r="G140" s="240">
        <f>COUNTA(G141:G145)</f>
        <v>5</v>
      </c>
      <c r="H140" s="275" t="s">
        <v>2009</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0.4642857142857143</v>
      </c>
      <c r="P140" s="314">
        <f ca="1">SUMPRODUCT(P141:P145,U141:U145)/SUM(U141:U145)</f>
        <v>1</v>
      </c>
      <c r="Q140" s="256">
        <f t="shared" ref="Q140" ca="1" si="85">O140-P140</f>
        <v>-0.5357142857142857</v>
      </c>
      <c r="R140" s="262" t="s">
        <v>2066</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81"/>
        <v>modesg_out_empr_info_nfinflg_emprs_excl_paris</v>
      </c>
      <c r="B141" s="142" t="s">
        <v>26</v>
      </c>
      <c r="C141" s="138" t="s">
        <v>311</v>
      </c>
      <c r="D141" s="235" t="s">
        <v>40</v>
      </c>
      <c r="E141" s="236" t="s">
        <v>326</v>
      </c>
      <c r="F141" s="236"/>
      <c r="G141" s="235" t="s">
        <v>328</v>
      </c>
      <c r="H141" s="235" t="str">
        <f>VLOOKUP(A141,'2. Status Detalhe Campos'!$A$7:$G$574,7,0)</f>
        <v>2.1 Em Teste</v>
      </c>
      <c r="I141" s="276" t="s">
        <v>38</v>
      </c>
      <c r="J141" s="285">
        <v>45614</v>
      </c>
      <c r="K141" s="285">
        <v>45615</v>
      </c>
      <c r="L141" s="290">
        <f t="array" ref="L141">MIN(IF(W141:CI141&gt;0,$W$16:$CI$16))</f>
        <v>45646</v>
      </c>
      <c r="M141" s="291">
        <f t="array" ref="M141">MAX(IF(W141:CI141&gt;0,$W$16:$CI$16))</f>
        <v>45646</v>
      </c>
      <c r="N141" s="291"/>
      <c r="O141" s="248">
        <f>VLOOKUP(H141,Auxiliar!$B$16:$E$24,4,0)</f>
        <v>0.25</v>
      </c>
      <c r="P141" s="248">
        <f t="shared" ca="1" si="82"/>
        <v>1</v>
      </c>
      <c r="Q141" s="247">
        <f t="shared" ca="1" si="80"/>
        <v>-0.75</v>
      </c>
      <c r="R141" s="262" t="s">
        <v>38</v>
      </c>
      <c r="S141" s="280"/>
      <c r="T141" s="270">
        <v>8.1</v>
      </c>
      <c r="U141" s="270">
        <f t="shared" si="83"/>
        <v>1</v>
      </c>
      <c r="V141" s="270">
        <f t="shared" si="84"/>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81"/>
        <v>modesg_out_empr_info_nfinflg_nfrd</v>
      </c>
      <c r="B142" s="142" t="s">
        <v>26</v>
      </c>
      <c r="C142" s="138" t="s">
        <v>311</v>
      </c>
      <c r="D142" s="235" t="s">
        <v>40</v>
      </c>
      <c r="E142" s="236" t="s">
        <v>326</v>
      </c>
      <c r="F142" s="236"/>
      <c r="G142" s="235" t="s">
        <v>245</v>
      </c>
      <c r="H142" s="235" t="str">
        <f>VLOOKUP(A142,'2. Status Detalhe Campos'!$A$7:$G$574,7,0)</f>
        <v>2.1 Em Teste</v>
      </c>
      <c r="I142" s="276" t="s">
        <v>38</v>
      </c>
      <c r="J142" s="285">
        <v>45614</v>
      </c>
      <c r="K142" s="285">
        <v>45615</v>
      </c>
      <c r="L142" s="290">
        <f t="array" ref="L142">MIN(IF(W142:CI142&gt;0,$W$16:$CI$16))</f>
        <v>45667</v>
      </c>
      <c r="M142" s="291">
        <f t="array" ref="M142">MAX(IF(W142:CI142&gt;0,$W$16:$CI$16))</f>
        <v>45667</v>
      </c>
      <c r="N142" s="291"/>
      <c r="O142" s="248">
        <f>VLOOKUP(H142,Auxiliar!$B$16:$E$24,4,0)</f>
        <v>0.25</v>
      </c>
      <c r="P142" s="248">
        <f t="shared" ca="1" si="82"/>
        <v>1</v>
      </c>
      <c r="Q142" s="247">
        <f t="shared" ca="1" si="80"/>
        <v>-0.75</v>
      </c>
      <c r="R142" s="262" t="s">
        <v>38</v>
      </c>
      <c r="S142" s="280"/>
      <c r="T142" s="270">
        <v>8.1</v>
      </c>
      <c r="U142" s="270">
        <f t="shared" si="83"/>
        <v>1</v>
      </c>
      <c r="V142" s="270">
        <f t="shared" si="84"/>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81"/>
        <v>modesg_out_empr_info_nfinorigem_alinhamentos</v>
      </c>
      <c r="B143" s="142" t="s">
        <v>26</v>
      </c>
      <c r="C143" s="138" t="s">
        <v>311</v>
      </c>
      <c r="D143" s="235" t="s">
        <v>40</v>
      </c>
      <c r="E143" s="236" t="s">
        <v>326</v>
      </c>
      <c r="F143" s="236"/>
      <c r="G143" s="235" t="s">
        <v>329</v>
      </c>
      <c r="H143" s="235" t="str">
        <f>VLOOKUP(A143,'2. Status Detalhe Campos'!$A$7:$G$574,7,0)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82"/>
        <v>1</v>
      </c>
      <c r="Q143" s="247">
        <f t="shared" ca="1" si="80"/>
        <v>0</v>
      </c>
      <c r="R143" s="262" t="s">
        <v>38</v>
      </c>
      <c r="S143" s="280"/>
      <c r="T143" s="270">
        <v>4.0999999999999996</v>
      </c>
      <c r="U143" s="270">
        <f t="shared" si="83"/>
        <v>0.5</v>
      </c>
      <c r="V143" s="270">
        <f t="shared" si="84"/>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81"/>
        <v>modesg_out_empr_info_nfinorigem_flg_emprs_excl_paris</v>
      </c>
      <c r="B144" s="142" t="s">
        <v>26</v>
      </c>
      <c r="C144" s="138" t="s">
        <v>311</v>
      </c>
      <c r="D144" s="235" t="s">
        <v>40</v>
      </c>
      <c r="E144" s="236" t="s">
        <v>326</v>
      </c>
      <c r="F144" s="236"/>
      <c r="G144" s="235" t="s">
        <v>330</v>
      </c>
      <c r="H144" s="235" t="str">
        <f>VLOOKUP(A144,'2. Status Detalhe Campos'!$A$7:$G$574,7,0)</f>
        <v>2.1 Em Teste</v>
      </c>
      <c r="I144" s="276" t="s">
        <v>38</v>
      </c>
      <c r="J144" s="285">
        <v>45614</v>
      </c>
      <c r="K144" s="285">
        <v>45615</v>
      </c>
      <c r="L144" s="290">
        <f t="array" ref="L144">MIN(IF(W144:CI144&gt;0,$W$16:$CI$16))</f>
        <v>45667</v>
      </c>
      <c r="M144" s="291">
        <f t="array" ref="M144">MAX(IF(W144:CI144&gt;0,$W$16:$CI$16))</f>
        <v>45667</v>
      </c>
      <c r="N144" s="291"/>
      <c r="O144" s="248">
        <f>VLOOKUP(H144,Auxiliar!$B$16:$E$24,4,0)</f>
        <v>0.25</v>
      </c>
      <c r="P144" s="248">
        <f t="shared" ca="1" si="82"/>
        <v>1</v>
      </c>
      <c r="Q144" s="247">
        <f t="shared" ca="1" si="80"/>
        <v>-0.75</v>
      </c>
      <c r="R144" s="262" t="s">
        <v>38</v>
      </c>
      <c r="S144" s="280"/>
      <c r="T144" s="270">
        <v>4.0999999999999996</v>
      </c>
      <c r="U144" s="270">
        <f t="shared" si="83"/>
        <v>0.5</v>
      </c>
      <c r="V144" s="270">
        <f t="shared" si="84"/>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81"/>
        <v>modesg_out_empr_info_nfinorigem_flg_nfrd</v>
      </c>
      <c r="B145" s="142" t="s">
        <v>26</v>
      </c>
      <c r="C145" s="138" t="s">
        <v>311</v>
      </c>
      <c r="D145" s="235" t="s">
        <v>40</v>
      </c>
      <c r="E145" s="236" t="s">
        <v>326</v>
      </c>
      <c r="F145" s="236"/>
      <c r="G145" s="235" t="s">
        <v>331</v>
      </c>
      <c r="H145" s="235" t="str">
        <f>VLOOKUP(A145,'2. Status Detalhe Campos'!$A$7:$G$574,7,0)</f>
        <v>1. Concluído</v>
      </c>
      <c r="I145" s="276" t="s">
        <v>38</v>
      </c>
      <c r="J145" s="285">
        <v>45614</v>
      </c>
      <c r="K145" s="285">
        <v>45615</v>
      </c>
      <c r="L145" s="290">
        <f t="array" ref="L145">MIN(IF(W145:CI145&gt;0,$W$16:$CI$16))</f>
        <v>45667</v>
      </c>
      <c r="M145" s="291">
        <f t="array" ref="M145">MAX(IF(W145:CI145&gt;0,$W$16:$CI$16))</f>
        <v>45667</v>
      </c>
      <c r="N145" s="291"/>
      <c r="O145" s="248">
        <f>VLOOKUP(H145,Auxiliar!$B$16:$E$24,4,0)</f>
        <v>1</v>
      </c>
      <c r="P145" s="248">
        <f t="shared" ca="1" si="82"/>
        <v>1</v>
      </c>
      <c r="Q145" s="247">
        <f t="shared" ca="1" si="80"/>
        <v>0</v>
      </c>
      <c r="R145" s="262" t="s">
        <v>38</v>
      </c>
      <c r="S145" s="280"/>
      <c r="T145" s="270">
        <v>4.0999999999999996</v>
      </c>
      <c r="U145" s="270">
        <f t="shared" si="83"/>
        <v>0.5</v>
      </c>
      <c r="V145" s="270">
        <f t="shared" si="84"/>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1994</v>
      </c>
      <c r="G146" s="240">
        <f>COUNTA(G147:G149)</f>
        <v>3</v>
      </c>
      <c r="H146" s="295" t="s">
        <v>2005</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0.25</v>
      </c>
      <c r="P146" s="322">
        <f ca="1">SUMPRODUCT(P147:P149,U147:U149)/SUM(U147:U149)</f>
        <v>1</v>
      </c>
      <c r="Q146" s="247">
        <f t="shared" ca="1" si="80"/>
        <v>-0.75</v>
      </c>
      <c r="R146" s="374" t="s">
        <v>2050</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2.1 Em Teste</v>
      </c>
      <c r="I147" s="276" t="s">
        <v>38</v>
      </c>
      <c r="J147" s="285">
        <v>45621</v>
      </c>
      <c r="K147" s="285">
        <v>45596</v>
      </c>
      <c r="L147" s="290">
        <f t="array" ref="L147">MIN(IF(W147:CI147&gt;0,$W$16:$CI$16))</f>
        <v>45625</v>
      </c>
      <c r="M147" s="291">
        <f t="array" ref="M147">MAX(IF(W147:CI147&gt;0,$W$16:$CI$16))</f>
        <v>45625</v>
      </c>
      <c r="N147" s="291"/>
      <c r="O147" s="248">
        <f>VLOOKUP(H147,Auxiliar!$B$16:$E$24,4,0)</f>
        <v>0.25</v>
      </c>
      <c r="P147" s="248">
        <f t="shared" ref="P147:P149" ca="1" si="86">IF(TODAY()&lt;=L147,0,MIN((TODAY()-L147)/(M147-L147+1),100%))</f>
        <v>1</v>
      </c>
      <c r="Q147" s="247">
        <f t="shared" ca="1" si="80"/>
        <v>-0.75</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2.1 Em Teste</v>
      </c>
      <c r="I148" s="276" t="s">
        <v>38</v>
      </c>
      <c r="J148" s="285">
        <v>45621</v>
      </c>
      <c r="K148" s="285">
        <v>45596</v>
      </c>
      <c r="L148" s="290">
        <f t="array" ref="L148">MIN(IF(W148:CI148&gt;0,$W$16:$CI$16))</f>
        <v>45625</v>
      </c>
      <c r="M148" s="291">
        <f t="array" ref="M148">MAX(IF(W148:CI148&gt;0,$W$16:$CI$16))</f>
        <v>45625</v>
      </c>
      <c r="N148" s="291"/>
      <c r="O148" s="248">
        <f>VLOOKUP(H148,Auxiliar!$B$16:$E$24,4,0)</f>
        <v>0.25</v>
      </c>
      <c r="P148" s="248">
        <f t="shared" ca="1" si="86"/>
        <v>1</v>
      </c>
      <c r="Q148" s="247">
        <f t="shared" ca="1" si="80"/>
        <v>-0.75</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2.1 Em Teste</v>
      </c>
      <c r="I149" s="276" t="s">
        <v>38</v>
      </c>
      <c r="J149" s="285">
        <v>45621</v>
      </c>
      <c r="K149" s="285">
        <v>45596</v>
      </c>
      <c r="L149" s="290">
        <f t="array" ref="L149">MIN(IF(W149:CI149&gt;0,$W$16:$CI$16))</f>
        <v>45638</v>
      </c>
      <c r="M149" s="291">
        <f t="array" ref="M149">MAX(IF(W149:CI149&gt;0,$W$16:$CI$16))</f>
        <v>45638</v>
      </c>
      <c r="N149" s="291"/>
      <c r="O149" s="248">
        <f>VLOOKUP(H149,Auxiliar!$B$16:$E$24,4,0)</f>
        <v>0.25</v>
      </c>
      <c r="P149" s="248">
        <f t="shared" ca="1" si="86"/>
        <v>1</v>
      </c>
      <c r="Q149" s="247">
        <f t="shared" ca="1" si="80"/>
        <v>-0.75</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1993</v>
      </c>
      <c r="G150" s="240">
        <f>COUNTA(G151:G156)</f>
        <v>6</v>
      </c>
      <c r="H150" s="295" t="s">
        <v>2005</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0.25</v>
      </c>
      <c r="P150" s="322">
        <f ca="1">SUMPRODUCT(P151:P156,U151:U156)/SUM(U151:U156)</f>
        <v>1</v>
      </c>
      <c r="Q150" s="247">
        <f t="shared" ca="1" si="80"/>
        <v>-0.75</v>
      </c>
      <c r="R150" s="374" t="s">
        <v>2060</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87">E151&amp;G151</f>
        <v>modesg_out_empr_info_nfinorigem_scp1_emss</v>
      </c>
      <c r="B151" s="142" t="s">
        <v>26</v>
      </c>
      <c r="C151" s="138" t="s">
        <v>311</v>
      </c>
      <c r="D151" s="235" t="s">
        <v>40</v>
      </c>
      <c r="E151" s="236" t="s">
        <v>326</v>
      </c>
      <c r="F151" s="236"/>
      <c r="G151" s="235" t="s">
        <v>320</v>
      </c>
      <c r="H151" s="235" t="str">
        <f>VLOOKUP(A151,'2. Status Detalhe Campos'!$A$7:$G$574,7,0)</f>
        <v>2.1 Em Teste</v>
      </c>
      <c r="I151" s="276" t="s">
        <v>38</v>
      </c>
      <c r="J151" s="285">
        <v>45621</v>
      </c>
      <c r="K151" s="285">
        <v>45622</v>
      </c>
      <c r="L151" s="290">
        <f t="array" ref="L151">MIN(IF(W151:CI151&gt;0,$W$16:$CI$16))</f>
        <v>45645</v>
      </c>
      <c r="M151" s="291">
        <f t="array" ref="M151">MAX(IF(W151:CI151&gt;0,$W$16:$CI$16))</f>
        <v>45645</v>
      </c>
      <c r="N151" s="291"/>
      <c r="O151" s="248">
        <f>VLOOKUP(H151,Auxiliar!$B$16:$E$24,4,0)</f>
        <v>0.25</v>
      </c>
      <c r="P151" s="248">
        <f t="shared" ref="P151:P156" ca="1" si="88">IF(TODAY()&lt;=L151,0,MIN((TODAY()-L151)/(M151-L151+1),100%))</f>
        <v>1</v>
      </c>
      <c r="Q151" s="247">
        <f t="shared" ca="1" si="80"/>
        <v>-0.75</v>
      </c>
      <c r="R151" s="262" t="s">
        <v>38</v>
      </c>
      <c r="S151" s="280"/>
      <c r="T151" s="270">
        <v>4.0999999999999996</v>
      </c>
      <c r="U151" s="270">
        <f t="shared" ref="U151:U156" si="89">ROUND(T151/8,1)</f>
        <v>0.5</v>
      </c>
      <c r="V151" s="270">
        <f t="shared" ref="V151:V156" si="90">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7"/>
        <v>modesg_out_empr_info_nfinorigem_scp2_emss</v>
      </c>
      <c r="B152" s="142" t="s">
        <v>26</v>
      </c>
      <c r="C152" s="138" t="s">
        <v>311</v>
      </c>
      <c r="D152" s="235" t="s">
        <v>40</v>
      </c>
      <c r="E152" s="236" t="s">
        <v>326</v>
      </c>
      <c r="F152" s="236"/>
      <c r="G152" s="235" t="s">
        <v>321</v>
      </c>
      <c r="H152" s="235" t="str">
        <f>VLOOKUP(A152,'2. Status Detalhe Campos'!$A$7:$G$574,7,0)</f>
        <v>2.1 Em Teste</v>
      </c>
      <c r="I152" s="276" t="s">
        <v>38</v>
      </c>
      <c r="J152" s="285">
        <v>45621</v>
      </c>
      <c r="K152" s="285">
        <v>45622</v>
      </c>
      <c r="L152" s="290">
        <f t="array" ref="L152">MIN(IF(W152:CI152&gt;0,$W$16:$CI$16))</f>
        <v>45645</v>
      </c>
      <c r="M152" s="291">
        <f t="array" ref="M152">MAX(IF(W152:CI152&gt;0,$W$16:$CI$16))</f>
        <v>45645</v>
      </c>
      <c r="N152" s="291"/>
      <c r="O152" s="248">
        <f>VLOOKUP(H152,Auxiliar!$B$16:$E$24,4,0)</f>
        <v>0.25</v>
      </c>
      <c r="P152" s="248">
        <f t="shared" ca="1" si="88"/>
        <v>1</v>
      </c>
      <c r="Q152" s="247">
        <f t="shared" ca="1" si="80"/>
        <v>-0.75</v>
      </c>
      <c r="R152" s="262" t="s">
        <v>38</v>
      </c>
      <c r="S152" s="280"/>
      <c r="T152" s="270">
        <v>4.0999999999999996</v>
      </c>
      <c r="U152" s="270">
        <f t="shared" si="89"/>
        <v>0.5</v>
      </c>
      <c r="V152" s="270">
        <f t="shared" si="90"/>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7"/>
        <v>modesg_out_empr_info_nfinorigem_scp3_emss</v>
      </c>
      <c r="B153" s="142" t="s">
        <v>26</v>
      </c>
      <c r="C153" s="138" t="s">
        <v>311</v>
      </c>
      <c r="D153" s="235" t="s">
        <v>40</v>
      </c>
      <c r="E153" s="236" t="s">
        <v>326</v>
      </c>
      <c r="F153" s="236"/>
      <c r="G153" s="235" t="s">
        <v>322</v>
      </c>
      <c r="H153" s="235" t="str">
        <f>VLOOKUP(A153,'2. Status Detalhe Campos'!$A$7:$G$574,7,0)</f>
        <v>2.1 Em Teste</v>
      </c>
      <c r="I153" s="276" t="s">
        <v>38</v>
      </c>
      <c r="J153" s="285">
        <v>45621</v>
      </c>
      <c r="K153" s="285">
        <v>45622</v>
      </c>
      <c r="L153" s="290">
        <f t="array" ref="L153">MIN(IF(W153:CI153&gt;0,$W$16:$CI$16))</f>
        <v>45645</v>
      </c>
      <c r="M153" s="291">
        <f t="array" ref="M153">MAX(IF(W153:CI153&gt;0,$W$16:$CI$16))</f>
        <v>45645</v>
      </c>
      <c r="N153" s="291"/>
      <c r="O153" s="248">
        <f>VLOOKUP(H153,Auxiliar!$B$16:$E$24,4,0)</f>
        <v>0.25</v>
      </c>
      <c r="P153" s="248">
        <f t="shared" ca="1" si="88"/>
        <v>1</v>
      </c>
      <c r="Q153" s="247">
        <f t="shared" ca="1" si="80"/>
        <v>-0.75</v>
      </c>
      <c r="R153" s="262" t="s">
        <v>38</v>
      </c>
      <c r="S153" s="280"/>
      <c r="T153" s="270">
        <v>4.0999999999999996</v>
      </c>
      <c r="U153" s="270">
        <f t="shared" si="89"/>
        <v>0.5</v>
      </c>
      <c r="V153" s="270">
        <f t="shared" si="90"/>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7"/>
        <v>modesg_out_empr_info_nfinscp1_emss</v>
      </c>
      <c r="B154" s="142" t="s">
        <v>26</v>
      </c>
      <c r="C154" s="138" t="s">
        <v>311</v>
      </c>
      <c r="D154" s="235" t="s">
        <v>40</v>
      </c>
      <c r="E154" s="236" t="s">
        <v>326</v>
      </c>
      <c r="F154" s="236"/>
      <c r="G154" s="235" t="s">
        <v>286</v>
      </c>
      <c r="H154" s="235" t="str">
        <f>VLOOKUP(A154,'2. Status Detalhe Campos'!$A$7:$G$574,7,0)</f>
        <v>2.1 Em Teste</v>
      </c>
      <c r="I154" s="276" t="s">
        <v>38</v>
      </c>
      <c r="J154" s="285">
        <v>45621</v>
      </c>
      <c r="K154" s="285">
        <v>45622</v>
      </c>
      <c r="L154" s="290">
        <f t="array" ref="L154">MIN(IF(W154:CI154&gt;0,$W$16:$CI$16))</f>
        <v>45636</v>
      </c>
      <c r="M154" s="291">
        <f t="array" ref="M154">MAX(IF(W154:CI154&gt;0,$W$16:$CI$16))</f>
        <v>45637</v>
      </c>
      <c r="N154" s="291"/>
      <c r="O154" s="248">
        <f>VLOOKUP(H154,Auxiliar!$B$16:$E$24,4,0)</f>
        <v>0.25</v>
      </c>
      <c r="P154" s="248">
        <f t="shared" ca="1" si="88"/>
        <v>1</v>
      </c>
      <c r="Q154" s="247">
        <f t="shared" ca="1" si="80"/>
        <v>-0.75</v>
      </c>
      <c r="R154" s="262" t="s">
        <v>38</v>
      </c>
      <c r="S154" s="280"/>
      <c r="T154" s="270">
        <v>8.1</v>
      </c>
      <c r="U154" s="270">
        <f t="shared" si="89"/>
        <v>1</v>
      </c>
      <c r="V154" s="270">
        <f t="shared" si="9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87"/>
        <v>modesg_out_empr_info_nfinscp2_emss</v>
      </c>
      <c r="B155" s="142" t="s">
        <v>26</v>
      </c>
      <c r="C155" s="138" t="s">
        <v>311</v>
      </c>
      <c r="D155" s="235" t="s">
        <v>40</v>
      </c>
      <c r="E155" s="236" t="s">
        <v>326</v>
      </c>
      <c r="F155" s="236"/>
      <c r="G155" s="235" t="s">
        <v>287</v>
      </c>
      <c r="H155" s="235" t="str">
        <f>VLOOKUP(A155,'2. Status Detalhe Campos'!$A$7:$G$574,7,0)</f>
        <v>2.1 Em Teste</v>
      </c>
      <c r="I155" s="276" t="s">
        <v>38</v>
      </c>
      <c r="J155" s="285">
        <v>45621</v>
      </c>
      <c r="K155" s="285">
        <v>45622</v>
      </c>
      <c r="L155" s="290">
        <f t="array" ref="L155">MIN(IF(W155:CI155&gt;0,$W$16:$CI$16))</f>
        <v>45637</v>
      </c>
      <c r="M155" s="291">
        <f t="array" ref="M155">MAX(IF(W155:CI155&gt;0,$W$16:$CI$16))</f>
        <v>45639</v>
      </c>
      <c r="N155" s="291"/>
      <c r="O155" s="248">
        <f>VLOOKUP(H155,Auxiliar!$B$16:$E$24,4,0)</f>
        <v>0.25</v>
      </c>
      <c r="P155" s="248">
        <f t="shared" ca="1" si="88"/>
        <v>1</v>
      </c>
      <c r="Q155" s="247">
        <f t="shared" ca="1" si="80"/>
        <v>-0.75</v>
      </c>
      <c r="R155" s="262" t="s">
        <v>38</v>
      </c>
      <c r="S155" s="280"/>
      <c r="T155" s="270">
        <v>8.1</v>
      </c>
      <c r="U155" s="270">
        <f t="shared" si="89"/>
        <v>1</v>
      </c>
      <c r="V155" s="270">
        <f t="shared" si="9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87"/>
        <v>modesg_out_empr_info_nfinscp3_emss</v>
      </c>
      <c r="B156" s="142" t="s">
        <v>26</v>
      </c>
      <c r="C156" s="138" t="s">
        <v>311</v>
      </c>
      <c r="D156" s="235" t="s">
        <v>40</v>
      </c>
      <c r="E156" s="236" t="s">
        <v>326</v>
      </c>
      <c r="F156" s="236"/>
      <c r="G156" s="235" t="s">
        <v>288</v>
      </c>
      <c r="H156" s="235" t="str">
        <f>VLOOKUP(A156,'2. Status Detalhe Campos'!$A$7:$G$574,7,0)</f>
        <v>2.1 Em Teste</v>
      </c>
      <c r="I156" s="276" t="s">
        <v>38</v>
      </c>
      <c r="J156" s="285">
        <v>45621</v>
      </c>
      <c r="K156" s="285">
        <v>45622</v>
      </c>
      <c r="L156" s="290">
        <f t="array" ref="L156">MIN(IF(W156:CI156&gt;0,$W$16:$CI$16))</f>
        <v>45639</v>
      </c>
      <c r="M156" s="291">
        <f t="array" ref="M156">MAX(IF(W156:CI156&gt;0,$W$16:$CI$16))</f>
        <v>45639</v>
      </c>
      <c r="N156" s="291"/>
      <c r="O156" s="248">
        <f>VLOOKUP(H156,Auxiliar!$B$16:$E$24,4,0)</f>
        <v>0.25</v>
      </c>
      <c r="P156" s="248">
        <f t="shared" ca="1" si="88"/>
        <v>1</v>
      </c>
      <c r="Q156" s="247">
        <f t="shared" ca="1" si="80"/>
        <v>-0.75</v>
      </c>
      <c r="R156" s="262" t="s">
        <v>38</v>
      </c>
      <c r="S156" s="280"/>
      <c r="T156" s="270">
        <v>8.1</v>
      </c>
      <c r="U156" s="270">
        <f t="shared" si="89"/>
        <v>1</v>
      </c>
      <c r="V156" s="270">
        <f t="shared" si="9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2068</v>
      </c>
      <c r="G157" s="240">
        <f>COUNTA(G158:G158)</f>
        <v>1</v>
      </c>
      <c r="H157" s="294" t="s">
        <v>2061</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80"/>
        <v>-0.75</v>
      </c>
      <c r="R157" s="262" t="s">
        <v>2062</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t="shared" ref="P158" ca="1" si="91">IF(TODAY()&lt;=L158,0,MIN((TODAY()-L158)/(M158-L158+1),100%))</f>
        <v>1</v>
      </c>
      <c r="Q158" s="248">
        <f t="shared" ca="1" si="80"/>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1948</v>
      </c>
      <c r="F159" s="239" t="s">
        <v>1972</v>
      </c>
      <c r="G159" s="240">
        <f>COUNTA(G160:G162)</f>
        <v>3</v>
      </c>
      <c r="H159" s="295" t="s">
        <v>2005</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80"/>
        <v>0</v>
      </c>
      <c r="R159" s="374" t="s">
        <v>2060</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1948</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80"/>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1948</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80"/>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1948</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80"/>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1948</v>
      </c>
      <c r="F163" s="239" t="s">
        <v>2067</v>
      </c>
      <c r="G163" s="240">
        <f>COUNTA(G164)</f>
        <v>1</v>
      </c>
      <c r="H163" s="294" t="s">
        <v>2061</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t="shared" ref="Q163" ca="1" si="92">O163-P163</f>
        <v>-0.75</v>
      </c>
      <c r="R163" s="262" t="s">
        <v>2062</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2065</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1948</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80"/>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1994</v>
      </c>
      <c r="G165" s="240">
        <f>COUNTA(G166:G167)</f>
        <v>2</v>
      </c>
      <c r="H165" s="275" t="s">
        <v>2011</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1</v>
      </c>
      <c r="P165" s="314">
        <f ca="1">SUMPRODUCT(P166:P167,U166:U167)/SUM(U166:U167)</f>
        <v>1</v>
      </c>
      <c r="Q165" s="247">
        <f t="shared" ref="Q165:Q186" ca="1" si="93">O165-P165</f>
        <v>0</v>
      </c>
      <c r="R165" s="262" t="s">
        <v>2058</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94">E166&amp;G166</f>
        <v>lt004_protectionprtctn_vl</v>
      </c>
      <c r="B166" s="142" t="s">
        <v>26</v>
      </c>
      <c r="C166" s="138" t="s">
        <v>26</v>
      </c>
      <c r="D166" s="235" t="s">
        <v>40</v>
      </c>
      <c r="E166" s="238" t="s">
        <v>369</v>
      </c>
      <c r="F166" s="238"/>
      <c r="G166" s="238" t="s">
        <v>439</v>
      </c>
      <c r="H166" s="235" t="str">
        <f>VLOOKUP(A166,'2. Status Detalhe Campos'!$A$7:$G$574,7,0)</f>
        <v>1. Concluído</v>
      </c>
      <c r="I166" s="285">
        <v>45588</v>
      </c>
      <c r="J166" s="324">
        <v>45624</v>
      </c>
      <c r="K166" s="330">
        <v>45624</v>
      </c>
      <c r="L166" s="290">
        <f t="array" ref="L166">MIN(IF(W166:CI166&gt;0,$W$16:$CI$16))</f>
        <v>45642</v>
      </c>
      <c r="M166" s="291">
        <f t="array" ref="M166">MAX(IF(W166:CI166&gt;0,$W$16:$CI$16))</f>
        <v>45642</v>
      </c>
      <c r="N166" s="291"/>
      <c r="O166" s="248">
        <f>VLOOKUP(H166,Auxiliar!$B$16:$E$24,4,0)</f>
        <v>1</v>
      </c>
      <c r="P166" s="248">
        <f t="shared" ref="P166:P171" ca="1" si="95">IF(TODAY()&lt;=L166,0,MIN((TODAY()-L166)/(M166-L166+1),100%))</f>
        <v>1</v>
      </c>
      <c r="Q166" s="247">
        <f t="shared" ca="1" si="93"/>
        <v>0</v>
      </c>
      <c r="R166" s="262" t="s">
        <v>38</v>
      </c>
      <c r="S166" s="280"/>
      <c r="T166" s="299">
        <v>4.0999999999999996</v>
      </c>
      <c r="U166" s="270">
        <f t="shared" ref="U166:U171" si="96">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ref="A167" si="97">E167&amp;G167</f>
        <v>lt004_protectionflg_col</v>
      </c>
      <c r="B167" s="142" t="s">
        <v>26</v>
      </c>
      <c r="C167" s="138" t="s">
        <v>26</v>
      </c>
      <c r="D167" s="235" t="s">
        <v>40</v>
      </c>
      <c r="E167" s="238" t="s">
        <v>369</v>
      </c>
      <c r="F167" s="238"/>
      <c r="G167" s="238" t="s">
        <v>480</v>
      </c>
      <c r="H167" s="235" t="str">
        <f>VLOOKUP(A167,'2. Status Detalhe Campos'!$A$7:$G$574,7,0)</f>
        <v>1. Concluído</v>
      </c>
      <c r="I167" s="276">
        <v>45593</v>
      </c>
      <c r="J167" s="324">
        <v>45624</v>
      </c>
      <c r="K167" s="330">
        <v>45624</v>
      </c>
      <c r="L167" s="290">
        <f t="array" ref="L167">MIN(IF(W167:CI167&gt;0,$W$16:$CI$16))</f>
        <v>45646</v>
      </c>
      <c r="M167" s="291">
        <f t="array" ref="M167">MAX(IF(W167:CI167&gt;0,$W$16:$CI$16))</f>
        <v>45646</v>
      </c>
      <c r="N167" s="291"/>
      <c r="O167" s="248">
        <f>VLOOKUP(H167,Auxiliar!$B$16:$E$24,4,0)</f>
        <v>1</v>
      </c>
      <c r="P167" s="248">
        <f t="shared" ref="P167" ca="1" si="98">IF(TODAY()&lt;=L167,0,MIN((TODAY()-L167)/(M167-L167+1),100%))</f>
        <v>1</v>
      </c>
      <c r="Q167" s="247">
        <f t="shared" ref="Q167" ca="1" si="99">O167-P167</f>
        <v>0</v>
      </c>
      <c r="R167" s="262" t="s">
        <v>38</v>
      </c>
      <c r="S167" s="280"/>
      <c r="T167" s="270">
        <v>4.0999999999999996</v>
      </c>
      <c r="U167" s="270">
        <f t="shared" ref="U167" si="100">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1994</v>
      </c>
      <c r="G168" s="240">
        <f>COUNTA(G169:G171)</f>
        <v>3</v>
      </c>
      <c r="H168" s="295" t="s">
        <v>2005</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t="shared" ref="Q168" ca="1" si="101">O168-P168</f>
        <v>0</v>
      </c>
      <c r="R168" s="374" t="s">
        <v>2060</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94"/>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95"/>
        <v>1</v>
      </c>
      <c r="Q169" s="247">
        <f t="shared" ca="1" si="93"/>
        <v>0</v>
      </c>
      <c r="R169" s="262" t="s">
        <v>38</v>
      </c>
      <c r="S169" s="280"/>
      <c r="T169" s="270">
        <v>4.0999999999999996</v>
      </c>
      <c r="U169" s="270">
        <f t="shared" si="96"/>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94"/>
        <v>lt004_protectionflg_exec</v>
      </c>
      <c r="B170" s="142" t="s">
        <v>26</v>
      </c>
      <c r="C170" s="138" t="s">
        <v>26</v>
      </c>
      <c r="D170" s="235" t="s">
        <v>40</v>
      </c>
      <c r="E170" s="238" t="s">
        <v>369</v>
      </c>
      <c r="F170" s="238"/>
      <c r="G170" s="238" t="s">
        <v>1355</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95"/>
        <v>1</v>
      </c>
      <c r="Q170" s="247">
        <f t="shared" ca="1" si="93"/>
        <v>0</v>
      </c>
      <c r="R170" s="262" t="s">
        <v>38</v>
      </c>
      <c r="S170" s="280"/>
      <c r="T170" s="270">
        <v>4.0999999999999996</v>
      </c>
      <c r="U170" s="270">
        <f t="shared" si="96"/>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94"/>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95"/>
        <v>1</v>
      </c>
      <c r="Q171" s="247">
        <f t="shared" ca="1" si="93"/>
        <v>0</v>
      </c>
      <c r="R171" s="262" t="s">
        <v>38</v>
      </c>
      <c r="S171" s="280"/>
      <c r="T171" s="270">
        <v>4.0999999999999996</v>
      </c>
      <c r="U171" s="270">
        <f t="shared" si="96"/>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2064</v>
      </c>
      <c r="G172" s="240">
        <f>COUNTA(G173)</f>
        <v>1</v>
      </c>
      <c r="H172" s="275" t="s">
        <v>2011</v>
      </c>
      <c r="I172" s="304">
        <f>MIN(I173)</f>
        <v>45603</v>
      </c>
      <c r="J172" s="277">
        <f>MIN(J173)</f>
        <v>45624</v>
      </c>
      <c r="K172" s="329">
        <f>MIN(K173)</f>
        <v>45624</v>
      </c>
      <c r="L172" s="277">
        <f>MIN(L173)</f>
        <v>45645</v>
      </c>
      <c r="M172" s="278">
        <f>MAX(M173)</f>
        <v>45645</v>
      </c>
      <c r="N172" s="323">
        <f t="array" ref="N172">MAX(IF(W172:CI172&gt;0,$W$16:$CI$16))</f>
        <v>45667</v>
      </c>
      <c r="O172" s="314">
        <f>O173</f>
        <v>1</v>
      </c>
      <c r="P172" s="314">
        <f ca="1">P173</f>
        <v>1</v>
      </c>
      <c r="Q172" s="247">
        <f t="shared" ca="1" si="93"/>
        <v>0</v>
      </c>
      <c r="R172" s="262" t="s">
        <v>2052</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1. Concluído</v>
      </c>
      <c r="I173" s="307">
        <v>45603</v>
      </c>
      <c r="J173" s="307">
        <v>45624</v>
      </c>
      <c r="K173" s="307">
        <v>45624</v>
      </c>
      <c r="L173" s="290">
        <f t="array" ref="L173">MIN(IF(W173:CI173&gt;0,$W$16:$CI$16))</f>
        <v>45645</v>
      </c>
      <c r="M173" s="291">
        <f t="array" ref="M173">MAX(IF(W173:CI173&gt;0,$W$16:$CI$16))</f>
        <v>45645</v>
      </c>
      <c r="N173" s="291"/>
      <c r="O173" s="248">
        <f>VLOOKUP(H173,Auxiliar!$B$16:$E$24,4,0)</f>
        <v>1</v>
      </c>
      <c r="P173" s="248">
        <f t="shared" ref="P173" ca="1" si="102">IF(TODAY()&lt;=L173,0,MIN((TODAY()-L173)/(M173-L173+1),100%))</f>
        <v>1</v>
      </c>
      <c r="Q173" s="247">
        <f t="shared" ca="1" si="93"/>
        <v>0</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1972</v>
      </c>
      <c r="G174" s="240">
        <f>COUNTA(G175:G186)</f>
        <v>12</v>
      </c>
      <c r="H174" s="298" t="s">
        <v>2010</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93"/>
        <v>0</v>
      </c>
      <c r="R174" s="380" t="s">
        <v>2016</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103">E175&amp;G175</f>
        <v>modesg_out_sfcs_taxon_europeiacbalcao</v>
      </c>
      <c r="B175" s="142" t="s">
        <v>26</v>
      </c>
      <c r="C175" s="138" t="s">
        <v>311</v>
      </c>
      <c r="D175" s="235" t="s">
        <v>40</v>
      </c>
      <c r="E175" s="236" t="s">
        <v>334</v>
      </c>
      <c r="F175" s="236"/>
      <c r="G175" s="235" t="s">
        <v>183</v>
      </c>
      <c r="H175" s="235" t="str">
        <f>VLOOKUP(A175,'2. Status Detalhe Campos'!$A$7:$G$574,7,0)</f>
        <v>2.2 Em Re-especificação</v>
      </c>
      <c r="I175" s="276" t="s">
        <v>38</v>
      </c>
      <c r="J175" s="324">
        <v>45628</v>
      </c>
      <c r="K175" s="325">
        <v>45629</v>
      </c>
      <c r="L175" s="290">
        <f t="array" ref="L175">MIN(IF(W175:CI175&gt;0,$W$16:$CI$16))</f>
        <v>45630</v>
      </c>
      <c r="M175" s="291">
        <f t="array" ref="M175">MAX(IF(W175:CI175&gt;0,$W$16:$CI$16))</f>
        <v>45630</v>
      </c>
      <c r="N175" s="291"/>
      <c r="O175" s="248">
        <f>VLOOKUP(H175,Auxiliar!$B$16:$E$24,4,0)</f>
        <v>0</v>
      </c>
      <c r="P175" s="248">
        <f t="shared" ref="P175:P186" ca="1" si="104">IF(TODAY()&lt;=L175,0,MIN((TODAY()-L175)/(M175-L175+1),100%))</f>
        <v>1</v>
      </c>
      <c r="Q175" s="247">
        <f t="shared" ca="1" si="93"/>
        <v>-1</v>
      </c>
      <c r="R175" s="381"/>
      <c r="S175" s="280"/>
      <c r="T175" s="270">
        <v>4.0999999999999996</v>
      </c>
      <c r="U175" s="270">
        <f t="shared" ref="U175:U186" si="105">ROUND(T175/8,1)</f>
        <v>0.5</v>
      </c>
      <c r="V175" s="270">
        <f t="shared" ref="V175:V186" si="106">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103"/>
        <v>modesg_out_sfcs_taxon_europeiacempresa</v>
      </c>
      <c r="B176" s="142" t="s">
        <v>26</v>
      </c>
      <c r="C176" s="138" t="s">
        <v>311</v>
      </c>
      <c r="D176" s="235" t="s">
        <v>40</v>
      </c>
      <c r="E176" s="236" t="s">
        <v>334</v>
      </c>
      <c r="F176" s="236"/>
      <c r="G176" s="235" t="s">
        <v>184</v>
      </c>
      <c r="H176" s="235" t="str">
        <f>VLOOKUP(A176,'2. Status Detalhe Campos'!$A$7:$G$574,7,0)</f>
        <v>2.2 Em Re-especificação</v>
      </c>
      <c r="I176" s="276" t="s">
        <v>38</v>
      </c>
      <c r="J176" s="324">
        <v>45628</v>
      </c>
      <c r="K176" s="325">
        <v>45629</v>
      </c>
      <c r="L176" s="290">
        <f t="array" ref="L176">MIN(IF(W176:CI176&gt;0,$W$16:$CI$16))</f>
        <v>45630</v>
      </c>
      <c r="M176" s="291">
        <f t="array" ref="M176">MAX(IF(W176:CI176&gt;0,$W$16:$CI$16))</f>
        <v>45630</v>
      </c>
      <c r="N176" s="291"/>
      <c r="O176" s="248">
        <f>VLOOKUP(H176,Auxiliar!$B$16:$E$24,4,0)</f>
        <v>0</v>
      </c>
      <c r="P176" s="248">
        <f t="shared" ca="1" si="104"/>
        <v>1</v>
      </c>
      <c r="Q176" s="247">
        <f t="shared" ca="1" si="93"/>
        <v>-1</v>
      </c>
      <c r="R176" s="381"/>
      <c r="S176" s="280"/>
      <c r="T176" s="270">
        <v>4.0999999999999996</v>
      </c>
      <c r="U176" s="270">
        <f t="shared" si="105"/>
        <v>0.5</v>
      </c>
      <c r="V176" s="270">
        <f t="shared" si="106"/>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103"/>
        <v>modesg_out_sfcs_taxon_europeiacnumecta</v>
      </c>
      <c r="B177" s="142" t="s">
        <v>26</v>
      </c>
      <c r="C177" s="138" t="s">
        <v>311</v>
      </c>
      <c r="D177" s="235" t="s">
        <v>40</v>
      </c>
      <c r="E177" s="236" t="s">
        <v>334</v>
      </c>
      <c r="F177" s="236"/>
      <c r="G177" s="235" t="s">
        <v>189</v>
      </c>
      <c r="H177" s="235" t="str">
        <f>VLOOKUP(A177,'2. Status Detalhe Campos'!$A$7:$G$574,7,0)</f>
        <v>2.2 Em Re-especificação</v>
      </c>
      <c r="I177" s="276" t="s">
        <v>38</v>
      </c>
      <c r="J177" s="324">
        <v>45628</v>
      </c>
      <c r="K177" s="325">
        <v>45629</v>
      </c>
      <c r="L177" s="290">
        <f t="array" ref="L177">MIN(IF(W177:CI177&gt;0,$W$16:$CI$16))</f>
        <v>45631</v>
      </c>
      <c r="M177" s="291">
        <f t="array" ref="M177">MAX(IF(W177:CI177&gt;0,$W$16:$CI$16))</f>
        <v>45631</v>
      </c>
      <c r="N177" s="291"/>
      <c r="O177" s="248">
        <f>VLOOKUP(H177,Auxiliar!$B$16:$E$24,4,0)</f>
        <v>0</v>
      </c>
      <c r="P177" s="248">
        <f t="shared" ca="1" si="104"/>
        <v>1</v>
      </c>
      <c r="Q177" s="247">
        <f t="shared" ca="1" si="93"/>
        <v>-1</v>
      </c>
      <c r="R177" s="381"/>
      <c r="S177" s="280"/>
      <c r="T177" s="270">
        <v>4.0999999999999996</v>
      </c>
      <c r="U177" s="270">
        <f t="shared" si="105"/>
        <v>0.5</v>
      </c>
      <c r="V177" s="270">
        <f t="shared" si="106"/>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103"/>
        <v>modesg_out_sfcs_taxon_europeiacod_regra</v>
      </c>
      <c r="B178" s="142" t="s">
        <v>26</v>
      </c>
      <c r="C178" s="138" t="s">
        <v>311</v>
      </c>
      <c r="D178" s="235" t="s">
        <v>40</v>
      </c>
      <c r="E178" s="236" t="s">
        <v>334</v>
      </c>
      <c r="F178" s="236"/>
      <c r="G178" s="235" t="s">
        <v>191</v>
      </c>
      <c r="H178" s="235" t="str">
        <f>VLOOKUP(A178,'2. Status Detalhe Campos'!$A$7:$G$574,7,0)</f>
        <v>2.2 Em Re-especificação</v>
      </c>
      <c r="I178" s="276" t="s">
        <v>38</v>
      </c>
      <c r="J178" s="324">
        <v>45628</v>
      </c>
      <c r="K178" s="325">
        <v>45629</v>
      </c>
      <c r="L178" s="290">
        <f t="array" ref="L178">MIN(IF(W178:CI178&gt;0,$W$16:$CI$16))</f>
        <v>45631</v>
      </c>
      <c r="M178" s="291">
        <f t="array" ref="M178">MAX(IF(W178:CI178&gt;0,$W$16:$CI$16))</f>
        <v>45631</v>
      </c>
      <c r="N178" s="291"/>
      <c r="O178" s="248">
        <f>VLOOKUP(H178,Auxiliar!$B$16:$E$24,4,0)</f>
        <v>0</v>
      </c>
      <c r="P178" s="248">
        <f t="shared" ca="1" si="104"/>
        <v>1</v>
      </c>
      <c r="Q178" s="247">
        <f t="shared" ca="1" si="93"/>
        <v>-1</v>
      </c>
      <c r="R178" s="381"/>
      <c r="S178" s="280"/>
      <c r="T178" s="270">
        <v>4.0999999999999996</v>
      </c>
      <c r="U178" s="270">
        <f t="shared" si="105"/>
        <v>0.5</v>
      </c>
      <c r="V178" s="270">
        <f t="shared" si="106"/>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103"/>
        <v>modesg_out_sfcs_taxon_europeiamontante_pndrc</v>
      </c>
      <c r="B179" s="142" t="s">
        <v>26</v>
      </c>
      <c r="C179" s="138" t="s">
        <v>311</v>
      </c>
      <c r="D179" s="235" t="s">
        <v>40</v>
      </c>
      <c r="E179" s="236" t="s">
        <v>334</v>
      </c>
      <c r="F179" s="236"/>
      <c r="G179" s="235" t="s">
        <v>202</v>
      </c>
      <c r="H179" s="235" t="str">
        <f>VLOOKUP(A179,'2. Status Detalhe Campos'!$A$7:$G$574,7,0)</f>
        <v>2.2 Em Re-especificação</v>
      </c>
      <c r="I179" s="276" t="s">
        <v>38</v>
      </c>
      <c r="J179" s="324">
        <v>45628</v>
      </c>
      <c r="K179" s="325">
        <v>45629</v>
      </c>
      <c r="L179" s="290">
        <f t="array" ref="L179">MIN(IF(W179:CI179&gt;0,$W$16:$CI$16))</f>
        <v>45632</v>
      </c>
      <c r="M179" s="291">
        <f t="array" ref="M179">MAX(IF(W179:CI179&gt;0,$W$16:$CI$16))</f>
        <v>45635</v>
      </c>
      <c r="N179" s="291"/>
      <c r="O179" s="248">
        <f>VLOOKUP(H179,Auxiliar!$B$16:$E$24,4,0)</f>
        <v>0</v>
      </c>
      <c r="P179" s="248">
        <f t="shared" ca="1" si="104"/>
        <v>1</v>
      </c>
      <c r="Q179" s="247">
        <f t="shared" ca="1" si="93"/>
        <v>-1</v>
      </c>
      <c r="R179" s="381"/>
      <c r="S179" s="280"/>
      <c r="T179" s="270">
        <v>16.100000000000001</v>
      </c>
      <c r="U179" s="270">
        <f t="shared" si="105"/>
        <v>2</v>
      </c>
      <c r="V179" s="270">
        <f t="shared" si="106"/>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103"/>
        <v>modesg_out_sfcs_taxon_europeianome_ctgr_sfcs</v>
      </c>
      <c r="B180" s="142" t="s">
        <v>26</v>
      </c>
      <c r="C180" s="138" t="s">
        <v>311</v>
      </c>
      <c r="D180" s="235" t="s">
        <v>40</v>
      </c>
      <c r="E180" s="236" t="s">
        <v>334</v>
      </c>
      <c r="F180" s="236"/>
      <c r="G180" s="235" t="s">
        <v>203</v>
      </c>
      <c r="H180" s="235" t="str">
        <f>VLOOKUP(A180,'2. Status Detalhe Campos'!$A$7:$G$574,7,0)</f>
        <v>2.2 Em Re-especificação</v>
      </c>
      <c r="I180" s="276" t="s">
        <v>38</v>
      </c>
      <c r="J180" s="324">
        <v>45628</v>
      </c>
      <c r="K180" s="325">
        <v>45629</v>
      </c>
      <c r="L180" s="290">
        <f t="array" ref="L180">MIN(IF(W180:CI180&gt;0,$W$16:$CI$16))</f>
        <v>45636</v>
      </c>
      <c r="M180" s="291">
        <f t="array" ref="M180">MAX(IF(W180:CI180&gt;0,$W$16:$CI$16))</f>
        <v>45637</v>
      </c>
      <c r="N180" s="291"/>
      <c r="O180" s="248">
        <f>VLOOKUP(H180,Auxiliar!$B$16:$E$24,4,0)</f>
        <v>0</v>
      </c>
      <c r="P180" s="248">
        <f t="shared" ca="1" si="104"/>
        <v>1</v>
      </c>
      <c r="Q180" s="247">
        <f t="shared" ca="1" si="93"/>
        <v>-1</v>
      </c>
      <c r="R180" s="381"/>
      <c r="S180" s="280"/>
      <c r="T180" s="270">
        <v>16.100000000000001</v>
      </c>
      <c r="U180" s="270">
        <f t="shared" si="105"/>
        <v>2</v>
      </c>
      <c r="V180" s="270">
        <f t="shared" si="106"/>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103"/>
        <v>modesg_out_sfcs_taxon_europeianome_general_specific_purpose</v>
      </c>
      <c r="B181" s="142" t="s">
        <v>26</v>
      </c>
      <c r="C181" s="138" t="s">
        <v>311</v>
      </c>
      <c r="D181" s="235" t="s">
        <v>40</v>
      </c>
      <c r="E181" s="236" t="s">
        <v>334</v>
      </c>
      <c r="F181" s="236"/>
      <c r="G181" s="235" t="s">
        <v>204</v>
      </c>
      <c r="H181" s="235" t="str">
        <f>VLOOKUP(A181,'2. Status Detalhe Campos'!$A$7:$G$574,7,0)</f>
        <v>2.2 Em Re-especificação</v>
      </c>
      <c r="I181" s="276" t="s">
        <v>38</v>
      </c>
      <c r="J181" s="324">
        <v>45628</v>
      </c>
      <c r="K181" s="325">
        <v>45629</v>
      </c>
      <c r="L181" s="290">
        <f t="array" ref="L181">MIN(IF(W181:CI181&gt;0,$W$16:$CI$16))</f>
        <v>45638</v>
      </c>
      <c r="M181" s="291">
        <f t="array" ref="M181">MAX(IF(W181:CI181&gt;0,$W$16:$CI$16))</f>
        <v>45638</v>
      </c>
      <c r="N181" s="291"/>
      <c r="O181" s="248">
        <f>VLOOKUP(H181,Auxiliar!$B$16:$E$24,4,0)</f>
        <v>0</v>
      </c>
      <c r="P181" s="248">
        <f t="shared" ca="1" si="104"/>
        <v>1</v>
      </c>
      <c r="Q181" s="247">
        <f t="shared" ca="1" si="93"/>
        <v>-1</v>
      </c>
      <c r="R181" s="381"/>
      <c r="S181" s="280"/>
      <c r="T181" s="270">
        <v>8.1</v>
      </c>
      <c r="U181" s="270">
        <f t="shared" si="105"/>
        <v>1</v>
      </c>
      <c r="V181" s="270">
        <f t="shared" si="106"/>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103"/>
        <v>modesg_out_sfcs_taxon_europeianome_purpose_esg</v>
      </c>
      <c r="B182" s="142" t="s">
        <v>26</v>
      </c>
      <c r="C182" s="138" t="s">
        <v>311</v>
      </c>
      <c r="D182" s="235" t="s">
        <v>40</v>
      </c>
      <c r="E182" s="236" t="s">
        <v>334</v>
      </c>
      <c r="F182" s="236"/>
      <c r="G182" s="235" t="s">
        <v>205</v>
      </c>
      <c r="H182" s="235" t="str">
        <f>VLOOKUP(A182,'2. Status Detalhe Campos'!$A$7:$G$574,7,0)</f>
        <v>2.2 Em Re-especificação</v>
      </c>
      <c r="I182" s="276" t="s">
        <v>38</v>
      </c>
      <c r="J182" s="324">
        <v>45628</v>
      </c>
      <c r="K182" s="325">
        <v>45629</v>
      </c>
      <c r="L182" s="290">
        <f t="array" ref="L182">MIN(IF(W182:CI182&gt;0,$W$16:$CI$16))</f>
        <v>45639</v>
      </c>
      <c r="M182" s="291">
        <f t="array" ref="M182">MAX(IF(W182:CI182&gt;0,$W$16:$CI$16))</f>
        <v>45639</v>
      </c>
      <c r="N182" s="291"/>
      <c r="O182" s="248">
        <f>VLOOKUP(H182,Auxiliar!$B$16:$E$24,4,0)</f>
        <v>0</v>
      </c>
      <c r="P182" s="248">
        <f t="shared" ca="1" si="104"/>
        <v>1</v>
      </c>
      <c r="Q182" s="247">
        <f t="shared" ca="1" si="93"/>
        <v>-1</v>
      </c>
      <c r="R182" s="381"/>
      <c r="S182" s="280"/>
      <c r="T182" s="270">
        <v>8.1</v>
      </c>
      <c r="U182" s="270">
        <f t="shared" si="105"/>
        <v>1</v>
      </c>
      <c r="V182" s="270">
        <f t="shared" si="106"/>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103"/>
        <v>modesg_out_sfcs_taxon_europeianome_specific_eligible</v>
      </c>
      <c r="B183" s="142" t="s">
        <v>26</v>
      </c>
      <c r="C183" s="138" t="s">
        <v>311</v>
      </c>
      <c r="D183" s="235" t="s">
        <v>40</v>
      </c>
      <c r="E183" s="236" t="s">
        <v>334</v>
      </c>
      <c r="F183" s="236"/>
      <c r="G183" s="235" t="s">
        <v>206</v>
      </c>
      <c r="H183" s="235" t="str">
        <f>VLOOKUP(A183,'2. Status Detalhe Campos'!$A$7:$G$574,7,0)</f>
        <v>2.2 Em Re-especificação</v>
      </c>
      <c r="I183" s="276" t="s">
        <v>38</v>
      </c>
      <c r="J183" s="324">
        <v>45628</v>
      </c>
      <c r="K183" s="325">
        <v>45629</v>
      </c>
      <c r="L183" s="290">
        <f t="array" ref="L183">MIN(IF(W183:CI183&gt;0,$W$16:$CI$16))</f>
        <v>45642</v>
      </c>
      <c r="M183" s="291">
        <f t="array" ref="M183">MAX(IF(W183:CI183&gt;0,$W$16:$CI$16))</f>
        <v>45642</v>
      </c>
      <c r="N183" s="291"/>
      <c r="O183" s="248">
        <f>VLOOKUP(H183,Auxiliar!$B$16:$E$24,4,0)</f>
        <v>0</v>
      </c>
      <c r="P183" s="248">
        <f t="shared" ca="1" si="104"/>
        <v>1</v>
      </c>
      <c r="Q183" s="247">
        <f t="shared" ca="1" si="93"/>
        <v>-1</v>
      </c>
      <c r="R183" s="381"/>
      <c r="S183" s="280"/>
      <c r="T183" s="270">
        <v>8.1</v>
      </c>
      <c r="U183" s="270">
        <f t="shared" si="105"/>
        <v>1</v>
      </c>
      <c r="V183" s="270">
        <f t="shared" si="106"/>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103"/>
        <v>modesg_out_sfcs_taxon_europeianome_specific_sustainable</v>
      </c>
      <c r="B184" s="142" t="s">
        <v>26</v>
      </c>
      <c r="C184" s="138" t="s">
        <v>311</v>
      </c>
      <c r="D184" s="235" t="s">
        <v>40</v>
      </c>
      <c r="E184" s="236" t="s">
        <v>334</v>
      </c>
      <c r="F184" s="236"/>
      <c r="G184" s="235" t="s">
        <v>207</v>
      </c>
      <c r="H184" s="235" t="str">
        <f>VLOOKUP(A184,'2. Status Detalhe Campos'!$A$7:$G$574,7,0)</f>
        <v>2.2 Em Re-especificação</v>
      </c>
      <c r="I184" s="276" t="s">
        <v>38</v>
      </c>
      <c r="J184" s="324">
        <v>45628</v>
      </c>
      <c r="K184" s="325">
        <v>45629</v>
      </c>
      <c r="L184" s="290">
        <f t="array" ref="L184">MIN(IF(W184:CI184&gt;0,$W$16:$CI$16))</f>
        <v>45643</v>
      </c>
      <c r="M184" s="291">
        <f t="array" ref="M184">MAX(IF(W184:CI184&gt;0,$W$16:$CI$16))</f>
        <v>45643</v>
      </c>
      <c r="N184" s="291"/>
      <c r="O184" s="248">
        <f>VLOOKUP(H184,Auxiliar!$B$16:$E$24,4,0)</f>
        <v>0</v>
      </c>
      <c r="P184" s="248">
        <f t="shared" ca="1" si="104"/>
        <v>1</v>
      </c>
      <c r="Q184" s="247">
        <f t="shared" ca="1" si="93"/>
        <v>-1</v>
      </c>
      <c r="R184" s="381"/>
      <c r="S184" s="280"/>
      <c r="T184" s="270">
        <v>8.1</v>
      </c>
      <c r="U184" s="270">
        <f t="shared" si="105"/>
        <v>1</v>
      </c>
      <c r="V184" s="270">
        <f t="shared" si="106"/>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103"/>
        <v>modesg_out_sfcs_taxon_europeiaref_date</v>
      </c>
      <c r="B185" s="142" t="s">
        <v>26</v>
      </c>
      <c r="C185" s="138" t="s">
        <v>311</v>
      </c>
      <c r="D185" s="235" t="s">
        <v>40</v>
      </c>
      <c r="E185" s="236" t="s">
        <v>334</v>
      </c>
      <c r="F185" s="236"/>
      <c r="G185" s="235" t="s">
        <v>208</v>
      </c>
      <c r="H185" s="235" t="str">
        <f>VLOOKUP(A185,'2. Status Detalhe Campos'!$A$7:$G$574,7,0)</f>
        <v>2.2 Em Re-especificação</v>
      </c>
      <c r="I185" s="276" t="s">
        <v>38</v>
      </c>
      <c r="J185" s="324">
        <v>45628</v>
      </c>
      <c r="K185" s="325">
        <v>45629</v>
      </c>
      <c r="L185" s="290">
        <f t="array" ref="L185">MIN(IF(W185:CI185&gt;0,$W$16:$CI$16))</f>
        <v>45644</v>
      </c>
      <c r="M185" s="291">
        <f t="array" ref="M185">MAX(IF(W185:CI185&gt;0,$W$16:$CI$16))</f>
        <v>45644</v>
      </c>
      <c r="N185" s="291"/>
      <c r="O185" s="248">
        <f>VLOOKUP(H185,Auxiliar!$B$16:$E$24,4,0)</f>
        <v>0</v>
      </c>
      <c r="P185" s="248">
        <f t="shared" ca="1" si="104"/>
        <v>1</v>
      </c>
      <c r="Q185" s="247">
        <f t="shared" ca="1" si="93"/>
        <v>-1</v>
      </c>
      <c r="R185" s="381"/>
      <c r="S185" s="280"/>
      <c r="T185" s="270">
        <v>4.0999999999999996</v>
      </c>
      <c r="U185" s="270">
        <f t="shared" si="105"/>
        <v>0.5</v>
      </c>
      <c r="V185" s="270">
        <f t="shared" si="106"/>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103"/>
        <v>modesg_out_sfcs_taxon_europeiazdeposit</v>
      </c>
      <c r="B186" s="142" t="s">
        <v>26</v>
      </c>
      <c r="C186" s="138" t="s">
        <v>311</v>
      </c>
      <c r="D186" s="235" t="s">
        <v>40</v>
      </c>
      <c r="E186" s="236" t="s">
        <v>334</v>
      </c>
      <c r="F186" s="236"/>
      <c r="G186" s="235" t="s">
        <v>210</v>
      </c>
      <c r="H186" s="235" t="str">
        <f>VLOOKUP(A186,'2. Status Detalhe Campos'!$A$7:$G$574,7,0)</f>
        <v>2.2 Em Re-especificação</v>
      </c>
      <c r="I186" s="276" t="s">
        <v>38</v>
      </c>
      <c r="J186" s="324">
        <v>45628</v>
      </c>
      <c r="K186" s="325">
        <v>45629</v>
      </c>
      <c r="L186" s="290">
        <f t="array" ref="L186">MIN(IF(W186:CI186&gt;0,$W$16:$CI$16))</f>
        <v>45644</v>
      </c>
      <c r="M186" s="291">
        <f t="array" ref="M186">MAX(IF(W186:CI186&gt;0,$W$16:$CI$16))</f>
        <v>45667</v>
      </c>
      <c r="N186" s="291"/>
      <c r="O186" s="248">
        <f>VLOOKUP(H186,Auxiliar!$B$16:$E$24,4,0)</f>
        <v>0</v>
      </c>
      <c r="P186" s="248">
        <f t="shared" ca="1" si="104"/>
        <v>1</v>
      </c>
      <c r="Q186" s="247">
        <f t="shared" ca="1" si="93"/>
        <v>-1</v>
      </c>
      <c r="R186" s="381"/>
      <c r="S186" s="280"/>
      <c r="T186" s="270">
        <v>8.1</v>
      </c>
      <c r="U186" s="270">
        <f t="shared" si="105"/>
        <v>1</v>
      </c>
      <c r="V186" s="270">
        <f t="shared" si="106"/>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2013</v>
      </c>
      <c r="G187" s="240">
        <f>COUNTA(G188:G190)</f>
        <v>3</v>
      </c>
      <c r="H187" s="295" t="s">
        <v>2005</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0.25</v>
      </c>
      <c r="P187" s="322">
        <f ca="1">SUMPRODUCT(P188:P190,U188:U190)/SUM(U188:U190)</f>
        <v>1</v>
      </c>
      <c r="Q187" s="247">
        <f ca="1">O187-P187</f>
        <v>-0.75</v>
      </c>
      <c r="R187" s="374" t="s">
        <v>2060</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2.1 Em Teste</v>
      </c>
      <c r="I188" s="376">
        <v>45603</v>
      </c>
      <c r="J188" s="324">
        <v>45631</v>
      </c>
      <c r="K188" s="324">
        <v>45631</v>
      </c>
      <c r="L188" s="290">
        <f t="array" ref="L188">MIN(IF(W188:CI188&gt;0,$W$16:$CI$16))</f>
        <v>45642</v>
      </c>
      <c r="M188" s="291">
        <f t="array" ref="M188">MAX(IF(W188:CI188&gt;0,$W$16:$CI$16))</f>
        <v>45642</v>
      </c>
      <c r="N188" s="291"/>
      <c r="O188" s="392">
        <f>VLOOKUP(H188,Auxiliar!$B$16:$E$24,4,0)</f>
        <v>0.25</v>
      </c>
      <c r="P188" s="392">
        <f t="shared" ref="P188:P190" ca="1" si="107">IF(TODAY()&lt;=L188,0,MIN((TODAY()-L188)/(M188-L188+1),100%))</f>
        <v>1</v>
      </c>
      <c r="Q188" s="247">
        <f ca="1">O188-P188</f>
        <v>-0.75</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2.1 Em Teste</v>
      </c>
      <c r="I189" s="376">
        <v>45603</v>
      </c>
      <c r="J189" s="324">
        <v>45631</v>
      </c>
      <c r="K189" s="324">
        <v>45631</v>
      </c>
      <c r="L189" s="290">
        <f t="array" ref="L189">MIN(IF(W189:CI189&gt;0,$W$16:$CI$16))</f>
        <v>45643</v>
      </c>
      <c r="M189" s="291">
        <f t="array" ref="M189">MAX(IF(W189:CI189&gt;0,$W$16:$CI$16))</f>
        <v>45643</v>
      </c>
      <c r="N189" s="291"/>
      <c r="O189" s="392">
        <f>VLOOKUP(H189,Auxiliar!$B$16:$E$24,4,0)</f>
        <v>0.25</v>
      </c>
      <c r="P189" s="392">
        <f t="shared" ca="1" si="107"/>
        <v>1</v>
      </c>
      <c r="Q189" s="247">
        <f ca="1">O189-P189</f>
        <v>-0.75</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2.1 Em Teste</v>
      </c>
      <c r="I190" s="376">
        <v>45603</v>
      </c>
      <c r="J190" s="324">
        <v>45631</v>
      </c>
      <c r="K190" s="324">
        <v>45631</v>
      </c>
      <c r="L190" s="290">
        <f t="array" ref="L190">MIN(IF(W190:CI190&gt;0,$W$16:$CI$16))</f>
        <v>45643</v>
      </c>
      <c r="M190" s="291">
        <f t="array" ref="M190">MAX(IF(W190:CI190&gt;0,$W$16:$CI$16))</f>
        <v>45643</v>
      </c>
      <c r="N190" s="291"/>
      <c r="O190" s="392">
        <f>VLOOKUP(H190,Auxiliar!$B$16:$E$24,4,0)</f>
        <v>0.25</v>
      </c>
      <c r="P190" s="392">
        <f t="shared" ca="1" si="107"/>
        <v>1</v>
      </c>
      <c r="Q190" s="247">
        <f ca="1">O190-P190</f>
        <v>-0.75</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1994</v>
      </c>
      <c r="G191" s="240">
        <f>COUNTA(G192:G195)</f>
        <v>4</v>
      </c>
      <c r="H191" s="295" t="s">
        <v>2005</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ref="Q191:Q195" ca="1" si="108">O191-P191</f>
        <v>0</v>
      </c>
      <c r="R191" s="374" t="s">
        <v>2060</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t="shared" ref="P192:P195" ca="1" si="109">IF(TODAY()&lt;=L192,0,MIN((TODAY()-L192)/(M192-L192+1),100%))</f>
        <v>1</v>
      </c>
      <c r="Q192" s="247">
        <f t="shared" ca="1" si="108"/>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t="shared" ca="1" si="109"/>
        <v>1</v>
      </c>
      <c r="Q193" s="247">
        <f t="shared" ca="1" si="108"/>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5" si="110">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t="shared" ca="1" si="109"/>
        <v>1</v>
      </c>
      <c r="Q194" s="247">
        <f t="shared" ca="1" si="108"/>
        <v>0</v>
      </c>
      <c r="R194" s="380" t="s">
        <v>38</v>
      </c>
      <c r="S194" s="280"/>
      <c r="T194" s="270">
        <v>4.0999999999999996</v>
      </c>
      <c r="U194" s="270">
        <f t="shared" ref="U194:U195" si="111">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10"/>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t="shared" ca="1" si="109"/>
        <v>1</v>
      </c>
      <c r="Q195" s="247">
        <f t="shared" ca="1" si="108"/>
        <v>0</v>
      </c>
      <c r="R195" s="380" t="s">
        <v>38</v>
      </c>
      <c r="S195" s="280"/>
      <c r="T195" s="270">
        <v>4.0999999999999996</v>
      </c>
      <c r="U195" s="270">
        <f t="shared" si="111"/>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2012</v>
      </c>
      <c r="G196" s="240">
        <f>COUNTA(G197:G202)</f>
        <v>6</v>
      </c>
      <c r="H196" s="298" t="s">
        <v>2010</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1</v>
      </c>
      <c r="P196" s="250">
        <f ca="1">SUMPRODUCT(P197:P202,U197:U202)/SUM(U197:U202)</f>
        <v>1</v>
      </c>
      <c r="Q196" s="247">
        <f t="shared" ref="Q196:Q202" ca="1" si="112">O196-P196</f>
        <v>0</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113">E197&amp;G197</f>
        <v>lt004_protectionemssns_scp1_prtctn</v>
      </c>
      <c r="B197" s="142" t="s">
        <v>26</v>
      </c>
      <c r="C197" s="138" t="s">
        <v>26</v>
      </c>
      <c r="D197" s="235" t="s">
        <v>40</v>
      </c>
      <c r="E197" s="238" t="s">
        <v>369</v>
      </c>
      <c r="F197" s="238"/>
      <c r="G197" s="242" t="s">
        <v>374</v>
      </c>
      <c r="H197" s="235" t="str">
        <f>VLOOKUP(A197,'2. Status Detalhe Campos'!$A$7:$G$574,7,0)</f>
        <v>1. Concluído</v>
      </c>
      <c r="I197" s="377">
        <v>45603</v>
      </c>
      <c r="J197" s="324">
        <v>45631</v>
      </c>
      <c r="K197" s="324">
        <v>45631</v>
      </c>
      <c r="L197" s="290">
        <f t="array" ref="L197">MIN(IF(W197:CI197&gt;0,$W$16:$CI$16))</f>
        <v>45649</v>
      </c>
      <c r="M197" s="291">
        <f t="array" ref="M197">MAX(IF(W197:CI197&gt;0,$W$16:$CI$16))</f>
        <v>45649</v>
      </c>
      <c r="N197" s="291"/>
      <c r="O197" s="248">
        <f>VLOOKUP(H197,Auxiliar!$B$16:$E$24,4,0)</f>
        <v>1</v>
      </c>
      <c r="P197" s="248">
        <f t="shared" ref="P197:P202" ca="1" si="114">IF(TODAY()&lt;=L197,0,MIN((TODAY()-L197)/(M197-L197+1),100%))</f>
        <v>1</v>
      </c>
      <c r="Q197" s="247">
        <f t="shared" ca="1" si="112"/>
        <v>0</v>
      </c>
      <c r="R197" s="380" t="s">
        <v>38</v>
      </c>
      <c r="S197" s="280" t="s">
        <v>1947</v>
      </c>
      <c r="T197" s="270">
        <v>4.0999999999999996</v>
      </c>
      <c r="U197" s="270">
        <f t="shared" ref="U197:U202" si="115">ROUND(T197/8,1)</f>
        <v>0.5</v>
      </c>
      <c r="V197" s="270">
        <f t="shared" ref="V197:V202" si="116">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13"/>
        <v>lt004_protectionemssns_scp2_prtctn</v>
      </c>
      <c r="B198" s="142" t="s">
        <v>26</v>
      </c>
      <c r="C198" s="138" t="s">
        <v>26</v>
      </c>
      <c r="D198" s="235" t="s">
        <v>40</v>
      </c>
      <c r="E198" s="238" t="s">
        <v>369</v>
      </c>
      <c r="F198" s="238"/>
      <c r="G198" s="242" t="s">
        <v>375</v>
      </c>
      <c r="H198" s="235" t="str">
        <f>VLOOKUP(A198,'2. Status Detalhe Campos'!$A$7:$G$574,7,0)</f>
        <v>1. Concluído</v>
      </c>
      <c r="I198" s="377">
        <v>45603</v>
      </c>
      <c r="J198" s="324">
        <v>45631</v>
      </c>
      <c r="K198" s="324">
        <v>45631</v>
      </c>
      <c r="L198" s="290">
        <f t="array" ref="L198">MIN(IF(W198:CI198&gt;0,$W$16:$CI$16))</f>
        <v>45649</v>
      </c>
      <c r="M198" s="291">
        <f t="array" ref="M198">MAX(IF(W198:CI198&gt;0,$W$16:$CI$16))</f>
        <v>45649</v>
      </c>
      <c r="N198" s="291"/>
      <c r="O198" s="248">
        <f>VLOOKUP(H198,Auxiliar!$B$16:$E$24,4,0)</f>
        <v>1</v>
      </c>
      <c r="P198" s="248">
        <f t="shared" ca="1" si="114"/>
        <v>1</v>
      </c>
      <c r="Q198" s="247">
        <f t="shared" ca="1" si="112"/>
        <v>0</v>
      </c>
      <c r="R198" s="380" t="s">
        <v>38</v>
      </c>
      <c r="S198" s="280" t="s">
        <v>1947</v>
      </c>
      <c r="T198" s="270">
        <v>4.0999999999999996</v>
      </c>
      <c r="U198" s="270">
        <f t="shared" si="115"/>
        <v>0.5</v>
      </c>
      <c r="V198" s="270">
        <f t="shared" si="116"/>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13"/>
        <v>lt004_protectionemssns_scp3_prtctn</v>
      </c>
      <c r="B199" s="142" t="s">
        <v>26</v>
      </c>
      <c r="C199" s="138" t="s">
        <v>26</v>
      </c>
      <c r="D199" s="235" t="s">
        <v>40</v>
      </c>
      <c r="E199" s="238" t="s">
        <v>369</v>
      </c>
      <c r="F199" s="238"/>
      <c r="G199" s="242" t="s">
        <v>376</v>
      </c>
      <c r="H199" s="235" t="str">
        <f>VLOOKUP(A199,'2. Status Detalhe Campos'!$A$7:$G$574,7,0)</f>
        <v>1. Concluído</v>
      </c>
      <c r="I199" s="377">
        <v>45603</v>
      </c>
      <c r="J199" s="324">
        <v>45631</v>
      </c>
      <c r="K199" s="324">
        <v>45631</v>
      </c>
      <c r="L199" s="290">
        <f t="array" ref="L199">MIN(IF(W199:CI199&gt;0,$W$16:$CI$16))</f>
        <v>45649</v>
      </c>
      <c r="M199" s="291">
        <f t="array" ref="M199">MAX(IF(W199:CI199&gt;0,$W$16:$CI$16))</f>
        <v>45649</v>
      </c>
      <c r="N199" s="291"/>
      <c r="O199" s="248">
        <f>VLOOKUP(H199,Auxiliar!$B$16:$E$24,4,0)</f>
        <v>1</v>
      </c>
      <c r="P199" s="248">
        <f t="shared" ca="1" si="114"/>
        <v>1</v>
      </c>
      <c r="Q199" s="247">
        <f t="shared" ca="1" si="112"/>
        <v>0</v>
      </c>
      <c r="R199" s="380" t="s">
        <v>38</v>
      </c>
      <c r="S199" s="280" t="s">
        <v>1947</v>
      </c>
      <c r="T199" s="270">
        <v>4.0999999999999996</v>
      </c>
      <c r="U199" s="270">
        <f t="shared" si="115"/>
        <v>0.5</v>
      </c>
      <c r="V199" s="270">
        <f t="shared" si="116"/>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113"/>
        <v>lt004_protectionmthd_usd_prtctn_scp_1</v>
      </c>
      <c r="B200" s="142" t="s">
        <v>26</v>
      </c>
      <c r="C200" s="138" t="s">
        <v>26</v>
      </c>
      <c r="D200" s="235" t="s">
        <v>40</v>
      </c>
      <c r="E200" s="238" t="s">
        <v>369</v>
      </c>
      <c r="F200" s="238"/>
      <c r="G200" s="242" t="s">
        <v>377</v>
      </c>
      <c r="H200" s="235" t="str">
        <f>VLOOKUP(A200,'2. Status Detalhe Campos'!$A$7:$G$574,7,0)</f>
        <v>1. Concluído</v>
      </c>
      <c r="I200" s="377">
        <v>45603</v>
      </c>
      <c r="J200" s="324">
        <v>45631</v>
      </c>
      <c r="K200" s="324">
        <v>45631</v>
      </c>
      <c r="L200" s="290">
        <f t="array" ref="L200">MIN(IF(W200:CI200&gt;0,$W$16:$CI$16))</f>
        <v>45649</v>
      </c>
      <c r="M200" s="291">
        <f t="array" ref="M200">MAX(IF(W200:CI200&gt;0,$W$16:$CI$16))</f>
        <v>45649</v>
      </c>
      <c r="N200" s="291"/>
      <c r="O200" s="248">
        <f>VLOOKUP(H200,Auxiliar!$B$16:$E$24,4,0)</f>
        <v>1</v>
      </c>
      <c r="P200" s="248">
        <f t="shared" ca="1" si="114"/>
        <v>1</v>
      </c>
      <c r="Q200" s="247">
        <f t="shared" ca="1" si="112"/>
        <v>0</v>
      </c>
      <c r="R200" s="380" t="s">
        <v>38</v>
      </c>
      <c r="S200" s="280" t="s">
        <v>1947</v>
      </c>
      <c r="T200" s="270">
        <v>4.0999999999999996</v>
      </c>
      <c r="U200" s="270">
        <f t="shared" si="115"/>
        <v>0.5</v>
      </c>
      <c r="V200" s="270">
        <f t="shared" si="116"/>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113"/>
        <v>lt004_protectionmthd_usd_prtctn_scp_2</v>
      </c>
      <c r="B201" s="142" t="s">
        <v>26</v>
      </c>
      <c r="C201" s="138" t="s">
        <v>26</v>
      </c>
      <c r="D201" s="235" t="s">
        <v>40</v>
      </c>
      <c r="E201" s="238" t="s">
        <v>369</v>
      </c>
      <c r="F201" s="238"/>
      <c r="G201" s="242" t="s">
        <v>378</v>
      </c>
      <c r="H201" s="235" t="str">
        <f>VLOOKUP(A201,'2. Status Detalhe Campos'!$A$7:$G$574,7,0)</f>
        <v>1. Concluído</v>
      </c>
      <c r="I201" s="377">
        <v>45603</v>
      </c>
      <c r="J201" s="324">
        <v>45631</v>
      </c>
      <c r="K201" s="324">
        <v>45631</v>
      </c>
      <c r="L201" s="290">
        <f t="array" ref="L201">MIN(IF(W201:CI201&gt;0,$W$16:$CI$16))</f>
        <v>45649</v>
      </c>
      <c r="M201" s="291">
        <f t="array" ref="M201">MAX(IF(W201:CI201&gt;0,$W$16:$CI$16))</f>
        <v>45649</v>
      </c>
      <c r="N201" s="291"/>
      <c r="O201" s="248">
        <f>VLOOKUP(H201,Auxiliar!$B$16:$E$24,4,0)</f>
        <v>1</v>
      </c>
      <c r="P201" s="248">
        <f t="shared" ca="1" si="114"/>
        <v>1</v>
      </c>
      <c r="Q201" s="247">
        <f t="shared" ca="1" si="112"/>
        <v>0</v>
      </c>
      <c r="R201" s="380" t="s">
        <v>38</v>
      </c>
      <c r="S201" s="280" t="s">
        <v>1947</v>
      </c>
      <c r="T201" s="270">
        <v>4.0999999999999996</v>
      </c>
      <c r="U201" s="270">
        <f t="shared" si="115"/>
        <v>0.5</v>
      </c>
      <c r="V201" s="270">
        <f t="shared" si="116"/>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113"/>
        <v>lt004_protectionmthd_usd_prtctn_scp_3</v>
      </c>
      <c r="B202" s="142" t="s">
        <v>26</v>
      </c>
      <c r="C202" s="138" t="s">
        <v>26</v>
      </c>
      <c r="D202" s="235" t="s">
        <v>40</v>
      </c>
      <c r="E202" s="238" t="s">
        <v>369</v>
      </c>
      <c r="F202" s="238"/>
      <c r="G202" s="242" t="s">
        <v>379</v>
      </c>
      <c r="H202" s="235" t="str">
        <f>VLOOKUP(A202,'2. Status Detalhe Campos'!$A$7:$G$574,7,0)</f>
        <v>1. Concluído</v>
      </c>
      <c r="I202" s="377">
        <v>45603</v>
      </c>
      <c r="J202" s="324">
        <v>45631</v>
      </c>
      <c r="K202" s="324">
        <v>45631</v>
      </c>
      <c r="L202" s="290">
        <f t="array" ref="L202">MIN(IF(W202:CI202&gt;0,$W$16:$CI$16))</f>
        <v>45649</v>
      </c>
      <c r="M202" s="291">
        <f t="array" ref="M202">MAX(IF(W202:CI202&gt;0,$W$16:$CI$16))</f>
        <v>45649</v>
      </c>
      <c r="N202" s="291"/>
      <c r="O202" s="248">
        <f>VLOOKUP(H202,Auxiliar!$B$16:$E$24,4,0)</f>
        <v>1</v>
      </c>
      <c r="P202" s="248">
        <f t="shared" ca="1" si="114"/>
        <v>1</v>
      </c>
      <c r="Q202" s="247">
        <f t="shared" ca="1" si="112"/>
        <v>0</v>
      </c>
      <c r="R202" s="380" t="s">
        <v>38</v>
      </c>
      <c r="S202" s="280" t="s">
        <v>1947</v>
      </c>
      <c r="T202" s="270">
        <v>4.0999999999999996</v>
      </c>
      <c r="U202" s="270">
        <f t="shared" si="115"/>
        <v>0.5</v>
      </c>
      <c r="V202" s="270">
        <f t="shared" si="116"/>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1996</v>
      </c>
      <c r="G203" s="240">
        <f>COUNTA(G204:G215)</f>
        <v>12</v>
      </c>
      <c r="H203" s="275" t="s">
        <v>2009</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0.25</v>
      </c>
      <c r="P203" s="251">
        <v>0</v>
      </c>
      <c r="Q203" s="247">
        <f t="shared" si="67"/>
        <v>0.25</v>
      </c>
      <c r="R203" s="380" t="s">
        <v>2047</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117">E204&amp;G204</f>
        <v>ENERGY_CERTIFICATE_EST_INPUTPROPERTY_BANK_ID</v>
      </c>
      <c r="B204" s="142" t="s">
        <v>26</v>
      </c>
      <c r="C204" s="138" t="s">
        <v>34</v>
      </c>
      <c r="D204" s="235" t="s">
        <v>40</v>
      </c>
      <c r="E204" s="236" t="s">
        <v>37</v>
      </c>
      <c r="F204" s="236"/>
      <c r="G204" s="235" t="s">
        <v>41</v>
      </c>
      <c r="H204" s="235" t="str">
        <f>VLOOKUP(A204,'2. Status Detalhe Campos'!$A$7:$G$574,7,0)</f>
        <v>4. Validação EF</v>
      </c>
      <c r="I204" s="276" t="s">
        <v>38</v>
      </c>
      <c r="J204" s="285">
        <v>45630</v>
      </c>
      <c r="K204" s="285">
        <v>45631</v>
      </c>
      <c r="L204" s="286">
        <f t="array" ref="L204">MIN(IF(W204:CI204&gt;0,$W$16:$CI$16))</f>
        <v>45646</v>
      </c>
      <c r="M204" s="287">
        <f t="array" ref="M204">MAX(IF(W204:CI204&gt;0,$W$16:$CI$16))</f>
        <v>45646</v>
      </c>
      <c r="N204" s="287"/>
      <c r="O204" s="248">
        <f>VLOOKUP(H204,Auxiliar!$B$16:$E$24,4,0)</f>
        <v>0.25</v>
      </c>
      <c r="P204" s="248">
        <f ca="1">IF(TODAY()&lt;=L204,0,MIN((TODAY()-L204)/(M204-L204+1),100%))</f>
        <v>1</v>
      </c>
      <c r="Q204" s="247">
        <f t="shared" ref="Q204:Q249" ca="1" si="118">O204-P204</f>
        <v>-0.75</v>
      </c>
      <c r="R204" s="381"/>
      <c r="S204" s="280"/>
      <c r="T204" s="270">
        <v>0.6</v>
      </c>
      <c r="U204" s="270">
        <f t="shared" ref="U204:U249" si="119">ROUND(T204/8,1)</f>
        <v>0.1</v>
      </c>
      <c r="V204" s="270">
        <f t="shared" ref="V204:V215" si="120">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17"/>
        <v>ENERGY_CERTIFICATE_EST_INPUTENCRYPTED_KEY</v>
      </c>
      <c r="B205" s="142" t="s">
        <v>26</v>
      </c>
      <c r="C205" s="138" t="s">
        <v>34</v>
      </c>
      <c r="D205" s="235" t="s">
        <v>40</v>
      </c>
      <c r="E205" s="236" t="s">
        <v>37</v>
      </c>
      <c r="F205" s="236"/>
      <c r="G205" s="235" t="s">
        <v>42</v>
      </c>
      <c r="H205" s="235" t="str">
        <f>VLOOKUP(A205,'2. Status Detalhe Campos'!$A$7:$G$574,7,0)</f>
        <v>4. Validação EF</v>
      </c>
      <c r="I205" s="276" t="s">
        <v>38</v>
      </c>
      <c r="J205" s="285">
        <v>45630</v>
      </c>
      <c r="K205" s="285">
        <v>45631</v>
      </c>
      <c r="L205" s="286">
        <f t="array" ref="L205">MIN(IF(W205:CI205&gt;0,$W$16:$CI$16))</f>
        <v>45646</v>
      </c>
      <c r="M205" s="287">
        <f t="array" ref="M205">MAX(IF(W205:CI205&gt;0,$W$16:$CI$16))</f>
        <v>45646</v>
      </c>
      <c r="N205" s="287"/>
      <c r="O205" s="248">
        <f>VLOOKUP(H205,Auxiliar!$B$16:$E$24,4,0)</f>
        <v>0.25</v>
      </c>
      <c r="P205" s="248">
        <f t="shared" ref="P205:P249" ca="1" si="121">IF(TODAY()&lt;=L205,0,MIN((TODAY()-L205)/(M205-L205+1),100%))</f>
        <v>1</v>
      </c>
      <c r="Q205" s="247">
        <f t="shared" ca="1" si="118"/>
        <v>-0.75</v>
      </c>
      <c r="R205" s="381"/>
      <c r="S205" s="280"/>
      <c r="T205" s="270">
        <v>0.6</v>
      </c>
      <c r="U205" s="270">
        <f t="shared" si="119"/>
        <v>0.1</v>
      </c>
      <c r="V205" s="270">
        <f t="shared" si="120"/>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17"/>
        <v>ENERGY_CERTIFICATE_EST_INPUTPROPERTY_BRANCH_CODE</v>
      </c>
      <c r="B206" s="142" t="s">
        <v>26</v>
      </c>
      <c r="C206" s="138" t="s">
        <v>34</v>
      </c>
      <c r="D206" s="235" t="s">
        <v>40</v>
      </c>
      <c r="E206" s="236" t="s">
        <v>37</v>
      </c>
      <c r="F206" s="236"/>
      <c r="G206" s="235" t="s">
        <v>43</v>
      </c>
      <c r="H206" s="235" t="str">
        <f>VLOOKUP(A206,'2. Status Detalhe Campos'!$A$7:$G$574,7,0)</f>
        <v>4. Validação EF</v>
      </c>
      <c r="I206" s="276" t="s">
        <v>38</v>
      </c>
      <c r="J206" s="285">
        <v>45630</v>
      </c>
      <c r="K206" s="285">
        <v>45631</v>
      </c>
      <c r="L206" s="286">
        <f t="array" ref="L206">MIN(IF(W206:CI206&gt;0,$W$16:$CI$16))</f>
        <v>45646</v>
      </c>
      <c r="M206" s="287">
        <f t="array" ref="M206">MAX(IF(W206:CI206&gt;0,$W$16:$CI$16))</f>
        <v>45646</v>
      </c>
      <c r="N206" s="287"/>
      <c r="O206" s="248">
        <f>VLOOKUP(H206,Auxiliar!$B$16:$E$24,4,0)</f>
        <v>0.25</v>
      </c>
      <c r="P206" s="248">
        <f t="shared" ca="1" si="121"/>
        <v>1</v>
      </c>
      <c r="Q206" s="247">
        <f t="shared" ca="1" si="118"/>
        <v>-0.75</v>
      </c>
      <c r="R206" s="381"/>
      <c r="S206" s="280"/>
      <c r="T206" s="270">
        <v>0.6</v>
      </c>
      <c r="U206" s="270">
        <f t="shared" si="119"/>
        <v>0.1</v>
      </c>
      <c r="V206" s="270">
        <f t="shared" si="120"/>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17"/>
        <v>ENERGY_CERTIFICATE_EST_INPUTPROPERTY_CONTRACT_ID</v>
      </c>
      <c r="B207" s="142" t="s">
        <v>26</v>
      </c>
      <c r="C207" s="138" t="s">
        <v>34</v>
      </c>
      <c r="D207" s="235" t="s">
        <v>40</v>
      </c>
      <c r="E207" s="236" t="s">
        <v>37</v>
      </c>
      <c r="F207" s="236"/>
      <c r="G207" s="235" t="s">
        <v>44</v>
      </c>
      <c r="H207" s="235" t="str">
        <f>VLOOKUP(A207,'2. Status Detalhe Campos'!$A$7:$G$574,7,0)</f>
        <v>4. Validação EF</v>
      </c>
      <c r="I207" s="276" t="s">
        <v>38</v>
      </c>
      <c r="J207" s="285">
        <v>45630</v>
      </c>
      <c r="K207" s="285">
        <v>45631</v>
      </c>
      <c r="L207" s="286">
        <f t="array" ref="L207">MIN(IF(W207:CI207&gt;0,$W$16:$CI$16))</f>
        <v>45646</v>
      </c>
      <c r="M207" s="287">
        <f t="array" ref="M207">MAX(IF(W207:CI207&gt;0,$W$16:$CI$16))</f>
        <v>45646</v>
      </c>
      <c r="N207" s="287"/>
      <c r="O207" s="248">
        <f>VLOOKUP(H207,Auxiliar!$B$16:$E$24,4,0)</f>
        <v>0.25</v>
      </c>
      <c r="P207" s="248">
        <f t="shared" ca="1" si="121"/>
        <v>1</v>
      </c>
      <c r="Q207" s="247">
        <f t="shared" ca="1" si="118"/>
        <v>-0.75</v>
      </c>
      <c r="R207" s="381"/>
      <c r="S207" s="280"/>
      <c r="T207" s="270">
        <v>0.6</v>
      </c>
      <c r="U207" s="270">
        <f t="shared" si="119"/>
        <v>0.1</v>
      </c>
      <c r="V207" s="270">
        <f t="shared" si="120"/>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17"/>
        <v>ENERGY_CERTIFICATE_EST_INPUTPROPERTY_REFERENCE_CODE</v>
      </c>
      <c r="B208" s="142" t="s">
        <v>26</v>
      </c>
      <c r="C208" s="138" t="s">
        <v>34</v>
      </c>
      <c r="D208" s="235" t="s">
        <v>40</v>
      </c>
      <c r="E208" s="236" t="s">
        <v>37</v>
      </c>
      <c r="F208" s="236"/>
      <c r="G208" s="235" t="s">
        <v>45</v>
      </c>
      <c r="H208" s="235" t="str">
        <f>VLOOKUP(A208,'2. Status Detalhe Campos'!$A$7:$G$574,7,0)</f>
        <v>4. Validação EF</v>
      </c>
      <c r="I208" s="276" t="s">
        <v>38</v>
      </c>
      <c r="J208" s="285">
        <v>45630</v>
      </c>
      <c r="K208" s="285">
        <v>45631</v>
      </c>
      <c r="L208" s="286">
        <f t="array" ref="L208">MIN(IF(W208:CI208&gt;0,$W$16:$CI$16))</f>
        <v>45646</v>
      </c>
      <c r="M208" s="287">
        <f t="array" ref="M208">MAX(IF(W208:CI208&gt;0,$W$16:$CI$16))</f>
        <v>45646</v>
      </c>
      <c r="N208" s="287"/>
      <c r="O208" s="248">
        <f>VLOOKUP(H208,Auxiliar!$B$16:$E$24,4,0)</f>
        <v>0.25</v>
      </c>
      <c r="P208" s="248">
        <f t="shared" ca="1" si="121"/>
        <v>1</v>
      </c>
      <c r="Q208" s="247">
        <f t="shared" ca="1" si="118"/>
        <v>-0.75</v>
      </c>
      <c r="R208" s="381"/>
      <c r="S208" s="280"/>
      <c r="T208" s="270">
        <v>0.6</v>
      </c>
      <c r="U208" s="270">
        <f t="shared" si="119"/>
        <v>0.1</v>
      </c>
      <c r="V208" s="270">
        <f t="shared" si="120"/>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17"/>
        <v>ENERGY_CERTIFICATE_EST_INPUTDATA_EXTRACTION_DATE</v>
      </c>
      <c r="B209" s="142" t="s">
        <v>26</v>
      </c>
      <c r="C209" s="138" t="s">
        <v>34</v>
      </c>
      <c r="D209" s="235" t="s">
        <v>40</v>
      </c>
      <c r="E209" s="236" t="s">
        <v>37</v>
      </c>
      <c r="F209" s="236"/>
      <c r="G209" s="235" t="s">
        <v>46</v>
      </c>
      <c r="H209" s="235" t="str">
        <f>VLOOKUP(A209,'2. Status Detalhe Campos'!$A$7:$G$574,7,0)</f>
        <v>4. Validação EF</v>
      </c>
      <c r="I209" s="276" t="s">
        <v>38</v>
      </c>
      <c r="J209" s="285">
        <v>45630</v>
      </c>
      <c r="K209" s="285">
        <v>45631</v>
      </c>
      <c r="L209" s="286">
        <f t="array" ref="L209">MIN(IF(W209:CI209&gt;0,$W$16:$CI$16))</f>
        <v>45646</v>
      </c>
      <c r="M209" s="287">
        <f t="array" ref="M209">MAX(IF(W209:CI209&gt;0,$W$16:$CI$16))</f>
        <v>45646</v>
      </c>
      <c r="N209" s="287"/>
      <c r="O209" s="248">
        <f>VLOOKUP(H209,Auxiliar!$B$16:$E$24,4,0)</f>
        <v>0.25</v>
      </c>
      <c r="P209" s="248">
        <f t="shared" ca="1" si="121"/>
        <v>1</v>
      </c>
      <c r="Q209" s="247">
        <f t="shared" ca="1" si="118"/>
        <v>-0.75</v>
      </c>
      <c r="R209" s="381"/>
      <c r="S209" s="280"/>
      <c r="T209" s="270">
        <v>0.6</v>
      </c>
      <c r="U209" s="270">
        <f t="shared" si="119"/>
        <v>0.1</v>
      </c>
      <c r="V209" s="270">
        <f t="shared" si="120"/>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17"/>
        <v>ENERGY_CERTIFICATE_EST_INPUTEPC</v>
      </c>
      <c r="B210" s="142" t="s">
        <v>26</v>
      </c>
      <c r="C210" s="138" t="s">
        <v>34</v>
      </c>
      <c r="D210" s="235" t="s">
        <v>40</v>
      </c>
      <c r="E210" s="236" t="s">
        <v>37</v>
      </c>
      <c r="F210" s="236"/>
      <c r="G210" s="235" t="s">
        <v>47</v>
      </c>
      <c r="H210" s="235" t="str">
        <f>VLOOKUP(A210,'2. Status Detalhe Campos'!$A$7:$G$574,7,0)</f>
        <v>4. Validação EF</v>
      </c>
      <c r="I210" s="276" t="s">
        <v>38</v>
      </c>
      <c r="J210" s="285">
        <v>45630</v>
      </c>
      <c r="K210" s="285">
        <v>45631</v>
      </c>
      <c r="L210" s="286">
        <f t="array" ref="L210">MIN(IF(W210:CI210&gt;0,$W$16:$CI$16))</f>
        <v>45646</v>
      </c>
      <c r="M210" s="287">
        <f t="array" ref="M210">MAX(IF(W210:CI210&gt;0,$W$16:$CI$16))</f>
        <v>45646</v>
      </c>
      <c r="N210" s="287"/>
      <c r="O210" s="248">
        <f>VLOOKUP(H210,Auxiliar!$B$16:$E$24,4,0)</f>
        <v>0.25</v>
      </c>
      <c r="P210" s="248">
        <f t="shared" ca="1" si="121"/>
        <v>1</v>
      </c>
      <c r="Q210" s="247">
        <f t="shared" ca="1" si="118"/>
        <v>-0.75</v>
      </c>
      <c r="R210" s="381"/>
      <c r="S210" s="280"/>
      <c r="T210" s="270">
        <v>0.6</v>
      </c>
      <c r="U210" s="270">
        <f t="shared" si="119"/>
        <v>0.1</v>
      </c>
      <c r="V210" s="270">
        <f t="shared" si="120"/>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17"/>
        <v>ENERGY_CERTIFICATE_EST_INPUTDATA_PROVIDER</v>
      </c>
      <c r="B211" s="142" t="s">
        <v>26</v>
      </c>
      <c r="C211" s="138" t="s">
        <v>34</v>
      </c>
      <c r="D211" s="235" t="s">
        <v>40</v>
      </c>
      <c r="E211" s="236" t="s">
        <v>37</v>
      </c>
      <c r="F211" s="236"/>
      <c r="G211" s="235" t="s">
        <v>48</v>
      </c>
      <c r="H211" s="235" t="str">
        <f>VLOOKUP(A211,'2. Status Detalhe Campos'!$A$7:$G$574,7,0)</f>
        <v>4. Validação EF</v>
      </c>
      <c r="I211" s="276" t="s">
        <v>38</v>
      </c>
      <c r="J211" s="285">
        <v>45630</v>
      </c>
      <c r="K211" s="285">
        <v>45631</v>
      </c>
      <c r="L211" s="286">
        <f t="array" ref="L211">MIN(IF(W211:CI211&gt;0,$W$16:$CI$16))</f>
        <v>45646</v>
      </c>
      <c r="M211" s="287">
        <f t="array" ref="M211">MAX(IF(W211:CI211&gt;0,$W$16:$CI$16))</f>
        <v>45646</v>
      </c>
      <c r="N211" s="287"/>
      <c r="O211" s="248">
        <f>VLOOKUP(H211,Auxiliar!$B$16:$E$24,4,0)</f>
        <v>0.25</v>
      </c>
      <c r="P211" s="248">
        <f t="shared" ca="1" si="121"/>
        <v>1</v>
      </c>
      <c r="Q211" s="247">
        <f t="shared" ca="1" si="118"/>
        <v>-0.75</v>
      </c>
      <c r="R211" s="381"/>
      <c r="S211" s="280"/>
      <c r="T211" s="270">
        <v>0.6</v>
      </c>
      <c r="U211" s="270">
        <f t="shared" si="119"/>
        <v>0.1</v>
      </c>
      <c r="V211" s="270">
        <f t="shared" si="120"/>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117"/>
        <v>ENERGY_CERTIFICATE_EST_INPUTACTUAL_VALUE_IND</v>
      </c>
      <c r="B212" s="142" t="s">
        <v>26</v>
      </c>
      <c r="C212" s="138" t="s">
        <v>34</v>
      </c>
      <c r="D212" s="235" t="s">
        <v>40</v>
      </c>
      <c r="E212" s="236" t="s">
        <v>37</v>
      </c>
      <c r="F212" s="236"/>
      <c r="G212" s="235" t="s">
        <v>49</v>
      </c>
      <c r="H212" s="235" t="str">
        <f>VLOOKUP(A212,'2. Status Detalhe Campos'!$A$7:$G$574,7,0)</f>
        <v>4. Validação EF</v>
      </c>
      <c r="I212" s="276" t="s">
        <v>38</v>
      </c>
      <c r="J212" s="285">
        <v>45630</v>
      </c>
      <c r="K212" s="285">
        <v>45631</v>
      </c>
      <c r="L212" s="286">
        <f t="array" ref="L212">MIN(IF(W212:CI212&gt;0,$W$16:$CI$16))</f>
        <v>45646</v>
      </c>
      <c r="M212" s="287">
        <f t="array" ref="M212">MAX(IF(W212:CI212&gt;0,$W$16:$CI$16))</f>
        <v>45646</v>
      </c>
      <c r="N212" s="287"/>
      <c r="O212" s="248">
        <f>VLOOKUP(H212,Auxiliar!$B$16:$E$24,4,0)</f>
        <v>0.25</v>
      </c>
      <c r="P212" s="248">
        <f t="shared" ca="1" si="121"/>
        <v>1</v>
      </c>
      <c r="Q212" s="247">
        <f t="shared" ca="1" si="118"/>
        <v>-0.75</v>
      </c>
      <c r="R212" s="381"/>
      <c r="S212" s="280"/>
      <c r="T212" s="270">
        <v>0.6</v>
      </c>
      <c r="U212" s="270">
        <f t="shared" si="119"/>
        <v>0.1</v>
      </c>
      <c r="V212" s="270">
        <f t="shared" si="120"/>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117"/>
        <v>ENERGY_CERTIFICATE_EST_INPUTQUALITY_SCORE</v>
      </c>
      <c r="B213" s="142" t="s">
        <v>26</v>
      </c>
      <c r="C213" s="138" t="s">
        <v>34</v>
      </c>
      <c r="D213" s="235" t="s">
        <v>40</v>
      </c>
      <c r="E213" s="236" t="s">
        <v>37</v>
      </c>
      <c r="F213" s="236"/>
      <c r="G213" s="235" t="s">
        <v>50</v>
      </c>
      <c r="H213" s="235" t="str">
        <f>VLOOKUP(A213,'2. Status Detalhe Campos'!$A$7:$G$574,7,0)</f>
        <v>4. Validação EF</v>
      </c>
      <c r="I213" s="276" t="s">
        <v>38</v>
      </c>
      <c r="J213" s="285">
        <v>45630</v>
      </c>
      <c r="K213" s="285">
        <v>45631</v>
      </c>
      <c r="L213" s="286">
        <f t="array" ref="L213">MIN(IF(W213:CI213&gt;0,$W$16:$CI$16))</f>
        <v>45646</v>
      </c>
      <c r="M213" s="287">
        <f t="array" ref="M213">MAX(IF(W213:CI213&gt;0,$W$16:$CI$16))</f>
        <v>45646</v>
      </c>
      <c r="N213" s="287"/>
      <c r="O213" s="248">
        <f>VLOOKUP(H213,Auxiliar!$B$16:$E$24,4,0)</f>
        <v>0.25</v>
      </c>
      <c r="P213" s="248">
        <f t="shared" ca="1" si="121"/>
        <v>1</v>
      </c>
      <c r="Q213" s="247">
        <f t="shared" ca="1" si="118"/>
        <v>-0.75</v>
      </c>
      <c r="R213" s="381"/>
      <c r="S213" s="280"/>
      <c r="T213" s="270">
        <v>0.6</v>
      </c>
      <c r="U213" s="270">
        <f t="shared" si="119"/>
        <v>0.1</v>
      </c>
      <c r="V213" s="270">
        <f t="shared" si="120"/>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117"/>
        <v>ENERGY_CERTIFICATE_EST_INPUTENERGY_CONSUMPTION_VALUE_YEAR</v>
      </c>
      <c r="B214" s="142" t="s">
        <v>26</v>
      </c>
      <c r="C214" s="138" t="s">
        <v>34</v>
      </c>
      <c r="D214" s="235" t="s">
        <v>40</v>
      </c>
      <c r="E214" s="236" t="s">
        <v>37</v>
      </c>
      <c r="F214" s="236"/>
      <c r="G214" s="235" t="s">
        <v>51</v>
      </c>
      <c r="H214" s="235" t="str">
        <f>VLOOKUP(A214,'2. Status Detalhe Campos'!$A$7:$G$574,7,0)</f>
        <v>4. Validação EF</v>
      </c>
      <c r="I214" s="276" t="s">
        <v>38</v>
      </c>
      <c r="J214" s="285">
        <v>45630</v>
      </c>
      <c r="K214" s="285">
        <v>45631</v>
      </c>
      <c r="L214" s="286">
        <f t="array" ref="L214">MIN(IF(W214:CI214&gt;0,$W$16:$CI$16))</f>
        <v>45659</v>
      </c>
      <c r="M214" s="287">
        <f t="array" ref="M214">MAX(IF(W214:CI214&gt;0,$W$16:$CI$16))</f>
        <v>45659</v>
      </c>
      <c r="N214" s="287"/>
      <c r="O214" s="248">
        <f>VLOOKUP(H214,Auxiliar!$B$16:$E$24,4,0)</f>
        <v>0.25</v>
      </c>
      <c r="P214" s="248">
        <f t="shared" ca="1" si="121"/>
        <v>1</v>
      </c>
      <c r="Q214" s="247">
        <f t="shared" ca="1" si="118"/>
        <v>-0.75</v>
      </c>
      <c r="R214" s="381"/>
      <c r="S214" s="280"/>
      <c r="T214" s="270">
        <v>0.6</v>
      </c>
      <c r="U214" s="270">
        <f t="shared" si="119"/>
        <v>0.1</v>
      </c>
      <c r="V214" s="270">
        <f t="shared" si="120"/>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117"/>
        <v>ENERGY_CERTIFICATE_EST_INPUTCARBON_EMISSION_VALUE_YEAR</v>
      </c>
      <c r="B215" s="142" t="s">
        <v>26</v>
      </c>
      <c r="C215" s="138" t="s">
        <v>34</v>
      </c>
      <c r="D215" s="235" t="s">
        <v>40</v>
      </c>
      <c r="E215" s="236" t="s">
        <v>37</v>
      </c>
      <c r="F215" s="236"/>
      <c r="G215" s="235" t="s">
        <v>52</v>
      </c>
      <c r="H215" s="235" t="str">
        <f>VLOOKUP(A215,'2. Status Detalhe Campos'!$A$7:$G$574,7,0)</f>
        <v>4. Validação EF</v>
      </c>
      <c r="I215" s="276" t="s">
        <v>38</v>
      </c>
      <c r="J215" s="285">
        <v>45630</v>
      </c>
      <c r="K215" s="285">
        <v>45631</v>
      </c>
      <c r="L215" s="286">
        <f t="array" ref="L215">MIN(IF(W215:CI215&gt;0,$W$16:$CI$16))</f>
        <v>45659</v>
      </c>
      <c r="M215" s="287">
        <f t="array" ref="M215">MAX(IF(W215:CI215&gt;0,$W$16:$CI$16))</f>
        <v>45659</v>
      </c>
      <c r="N215" s="287"/>
      <c r="O215" s="248">
        <f>VLOOKUP(H215,Auxiliar!$B$16:$E$24,4,0)</f>
        <v>0.25</v>
      </c>
      <c r="P215" s="248">
        <f t="shared" ca="1" si="121"/>
        <v>1</v>
      </c>
      <c r="Q215" s="247">
        <f t="shared" ca="1" si="118"/>
        <v>-0.75</v>
      </c>
      <c r="R215" s="381"/>
      <c r="S215" s="280"/>
      <c r="T215" s="270">
        <v>0.6</v>
      </c>
      <c r="U215" s="270">
        <f t="shared" si="119"/>
        <v>0.1</v>
      </c>
      <c r="V215" s="270">
        <f t="shared" si="120"/>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1972</v>
      </c>
      <c r="G216" s="255">
        <v>1</v>
      </c>
      <c r="H216" s="298" t="s">
        <v>2010</v>
      </c>
      <c r="I216" s="278">
        <v>45604</v>
      </c>
      <c r="J216" s="278">
        <v>45645</v>
      </c>
      <c r="K216" s="278">
        <v>45645</v>
      </c>
      <c r="L216" s="279"/>
      <c r="M216" s="310"/>
      <c r="N216" s="323">
        <f t="array" ref="N216">MAX(IF(W216:CI216&gt;0,$W$16:$CI$16))</f>
        <v>45667</v>
      </c>
      <c r="O216" s="316">
        <v>0</v>
      </c>
      <c r="P216" s="316">
        <v>0</v>
      </c>
      <c r="Q216" s="247">
        <f t="shared" ref="Q216" si="122">O216-P216</f>
        <v>0</v>
      </c>
      <c r="R216" s="380" t="s">
        <v>2014</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2007</v>
      </c>
      <c r="F217" s="239" t="s">
        <v>2049</v>
      </c>
      <c r="G217" s="255" t="s">
        <v>1951</v>
      </c>
      <c r="H217" s="275" t="s">
        <v>2009</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2006</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1993</v>
      </c>
      <c r="G218" s="331">
        <f>COUNTA(G219:G222)</f>
        <v>4</v>
      </c>
      <c r="H218" s="298" t="s">
        <v>2010</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1</v>
      </c>
      <c r="Q218" s="247">
        <f t="shared" ref="Q218:Q223" ca="1" si="123">O218-P218</f>
        <v>-0.75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t="shared" ref="P219:P222" ca="1" si="124">IF(TODAY()&lt;=L219,0,MIN((TODAY()-L219)/(M219-L219+1),100%))</f>
        <v>1</v>
      </c>
      <c r="Q219" s="247">
        <f t="shared" ca="1" si="123"/>
        <v>-0.75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E220&amp;G220</f>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t="shared" ca="1" si="124"/>
        <v>1</v>
      </c>
      <c r="Q220" s="247">
        <f t="shared" ca="1" si="123"/>
        <v>-0.75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E221&amp;G221</f>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t="shared" ca="1" si="124"/>
        <v>1</v>
      </c>
      <c r="Q221" s="247">
        <f t="shared" ca="1" si="123"/>
        <v>-0.75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E222&amp;G222</f>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t="shared" ca="1" si="124"/>
        <v>1</v>
      </c>
      <c r="Q222" s="247">
        <f t="shared" ca="1" si="123"/>
        <v>-0.75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ref="A223:A226" si="125">E223&amp;G223</f>
        <v>lt002_instrument3</v>
      </c>
      <c r="B223" s="142" t="s">
        <v>26</v>
      </c>
      <c r="C223" s="138" t="s">
        <v>26</v>
      </c>
      <c r="D223" s="235"/>
      <c r="E223" s="375" t="s">
        <v>380</v>
      </c>
      <c r="F223" s="241" t="s">
        <v>1995</v>
      </c>
      <c r="G223" s="255">
        <v>3</v>
      </c>
      <c r="H223" s="298" t="s">
        <v>2010</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1</v>
      </c>
      <c r="Q223" s="247">
        <f t="shared" ca="1" si="123"/>
        <v>-0.75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125"/>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t="shared" ref="P224:P226" ca="1" si="126">IF(TODAY()&lt;=L224,0,MIN((TODAY()-L224)/(M224-L224+1),100%))</f>
        <v>1</v>
      </c>
      <c r="Q224" s="248">
        <f t="shared" ref="Q224:Q226" ca="1" si="127">O224-P224</f>
        <v>-0.75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125"/>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t="shared" ca="1" si="126"/>
        <v>1</v>
      </c>
      <c r="Q225" s="248">
        <f t="shared" ca="1" si="127"/>
        <v>-0.75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125"/>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t="shared" ca="1" si="126"/>
        <v>1</v>
      </c>
      <c r="Q226" s="248">
        <f t="shared" ca="1" si="127"/>
        <v>-0.75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1996</v>
      </c>
      <c r="G227" s="331">
        <f>COUNTA(G228:G249)</f>
        <v>22</v>
      </c>
      <c r="H227" s="295" t="s">
        <v>2005</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118"/>
        <v>0</v>
      </c>
      <c r="R227" s="374" t="s">
        <v>2050</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17"/>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121"/>
        <v>1</v>
      </c>
      <c r="Q228" s="247">
        <f t="shared" ca="1" si="118"/>
        <v>0</v>
      </c>
      <c r="R228" s="381"/>
      <c r="S228" s="292" t="s">
        <v>1944</v>
      </c>
      <c r="T228" s="270">
        <v>4.0999999999999996</v>
      </c>
      <c r="U228" s="270">
        <f t="shared" si="119"/>
        <v>0.5</v>
      </c>
      <c r="V228" s="270">
        <f t="shared" ref="V228:V249" si="128">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17"/>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121"/>
        <v>1</v>
      </c>
      <c r="Q229" s="247">
        <f t="shared" ca="1" si="118"/>
        <v>0</v>
      </c>
      <c r="R229" s="381"/>
      <c r="S229" s="292" t="s">
        <v>1944</v>
      </c>
      <c r="T229" s="270">
        <v>4.0999999999999996</v>
      </c>
      <c r="U229" s="270">
        <f t="shared" si="119"/>
        <v>0.5</v>
      </c>
      <c r="V229" s="270">
        <f t="shared" si="128"/>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17"/>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121"/>
        <v>1</v>
      </c>
      <c r="Q230" s="247">
        <f t="shared" ca="1" si="118"/>
        <v>0</v>
      </c>
      <c r="R230" s="381"/>
      <c r="S230" s="292" t="s">
        <v>1944</v>
      </c>
      <c r="T230" s="270">
        <v>4.0999999999999996</v>
      </c>
      <c r="U230" s="270">
        <f t="shared" si="119"/>
        <v>0.5</v>
      </c>
      <c r="V230" s="270">
        <f t="shared" si="128"/>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17"/>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121"/>
        <v>1</v>
      </c>
      <c r="Q231" s="247">
        <f t="shared" ca="1" si="118"/>
        <v>0</v>
      </c>
      <c r="R231" s="381"/>
      <c r="S231" s="292" t="s">
        <v>1944</v>
      </c>
      <c r="T231" s="270">
        <v>4.0999999999999996</v>
      </c>
      <c r="U231" s="270">
        <f t="shared" si="119"/>
        <v>0.5</v>
      </c>
      <c r="V231" s="270">
        <f t="shared" si="128"/>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17"/>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121"/>
        <v>1</v>
      </c>
      <c r="Q232" s="247">
        <f t="shared" ca="1" si="118"/>
        <v>0</v>
      </c>
      <c r="R232" s="381"/>
      <c r="S232" s="292" t="s">
        <v>1944</v>
      </c>
      <c r="T232" s="270">
        <v>4.0999999999999996</v>
      </c>
      <c r="U232" s="270">
        <f t="shared" si="119"/>
        <v>0.5</v>
      </c>
      <c r="V232" s="270">
        <f t="shared" si="128"/>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17"/>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121"/>
        <v>1</v>
      </c>
      <c r="Q233" s="247">
        <f t="shared" ca="1" si="118"/>
        <v>0</v>
      </c>
      <c r="R233" s="381"/>
      <c r="S233" s="292" t="s">
        <v>1944</v>
      </c>
      <c r="T233" s="270">
        <v>4.0999999999999996</v>
      </c>
      <c r="U233" s="270">
        <f t="shared" si="119"/>
        <v>0.5</v>
      </c>
      <c r="V233" s="270">
        <f t="shared" si="128"/>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17"/>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121"/>
        <v>1</v>
      </c>
      <c r="Q234" s="247">
        <f t="shared" ca="1" si="118"/>
        <v>0</v>
      </c>
      <c r="R234" s="381"/>
      <c r="S234" s="292" t="s">
        <v>1944</v>
      </c>
      <c r="T234" s="270">
        <v>4.0999999999999996</v>
      </c>
      <c r="U234" s="270">
        <f t="shared" si="119"/>
        <v>0.5</v>
      </c>
      <c r="V234" s="270">
        <f t="shared" si="128"/>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17"/>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121"/>
        <v>1</v>
      </c>
      <c r="Q235" s="247">
        <f t="shared" ca="1" si="118"/>
        <v>0</v>
      </c>
      <c r="R235" s="381"/>
      <c r="S235" s="292" t="s">
        <v>1944</v>
      </c>
      <c r="T235" s="270">
        <v>4.0999999999999996</v>
      </c>
      <c r="U235" s="270">
        <f t="shared" si="119"/>
        <v>0.5</v>
      </c>
      <c r="V235" s="270">
        <f t="shared" si="128"/>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17"/>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121"/>
        <v>1</v>
      </c>
      <c r="Q236" s="247">
        <f t="shared" ca="1" si="118"/>
        <v>0</v>
      </c>
      <c r="R236" s="381"/>
      <c r="S236" s="292" t="s">
        <v>1944</v>
      </c>
      <c r="T236" s="270">
        <v>4.0999999999999996</v>
      </c>
      <c r="U236" s="270">
        <f t="shared" si="119"/>
        <v>0.5</v>
      </c>
      <c r="V236" s="270">
        <f t="shared" si="128"/>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17"/>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121"/>
        <v>1</v>
      </c>
      <c r="Q237" s="247">
        <f t="shared" ca="1" si="118"/>
        <v>0</v>
      </c>
      <c r="R237" s="381"/>
      <c r="S237" s="292" t="s">
        <v>1944</v>
      </c>
      <c r="T237" s="270">
        <v>4.0999999999999996</v>
      </c>
      <c r="U237" s="270">
        <f t="shared" si="119"/>
        <v>0.5</v>
      </c>
      <c r="V237" s="270">
        <f t="shared" si="128"/>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17"/>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121"/>
        <v>1</v>
      </c>
      <c r="Q238" s="247">
        <f t="shared" ca="1" si="118"/>
        <v>0</v>
      </c>
      <c r="R238" s="381"/>
      <c r="S238" s="292" t="s">
        <v>1944</v>
      </c>
      <c r="T238" s="270">
        <v>4.0999999999999996</v>
      </c>
      <c r="U238" s="270">
        <f t="shared" si="119"/>
        <v>0.5</v>
      </c>
      <c r="V238" s="270">
        <f t="shared" si="128"/>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17"/>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121"/>
        <v>1</v>
      </c>
      <c r="Q239" s="247">
        <f t="shared" ca="1" si="118"/>
        <v>0</v>
      </c>
      <c r="R239" s="381"/>
      <c r="S239" s="292" t="s">
        <v>1944</v>
      </c>
      <c r="T239" s="270">
        <v>4.0999999999999996</v>
      </c>
      <c r="U239" s="270">
        <f t="shared" si="119"/>
        <v>0.5</v>
      </c>
      <c r="V239" s="270">
        <f t="shared" si="128"/>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17"/>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121"/>
        <v>1</v>
      </c>
      <c r="Q240" s="247">
        <f t="shared" ca="1" si="118"/>
        <v>0</v>
      </c>
      <c r="R240" s="381"/>
      <c r="S240" s="292" t="s">
        <v>1944</v>
      </c>
      <c r="T240" s="270">
        <v>4.0999999999999996</v>
      </c>
      <c r="U240" s="270">
        <f t="shared" si="119"/>
        <v>0.5</v>
      </c>
      <c r="V240" s="270">
        <f t="shared" si="128"/>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17"/>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121"/>
        <v>1</v>
      </c>
      <c r="Q241" s="247">
        <f t="shared" ca="1" si="118"/>
        <v>0</v>
      </c>
      <c r="R241" s="381"/>
      <c r="S241" s="292" t="s">
        <v>1944</v>
      </c>
      <c r="T241" s="270">
        <v>4.0999999999999996</v>
      </c>
      <c r="U241" s="270">
        <f t="shared" si="119"/>
        <v>0.5</v>
      </c>
      <c r="V241" s="270">
        <f t="shared" si="128"/>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17"/>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121"/>
        <v>1</v>
      </c>
      <c r="Q242" s="247">
        <f t="shared" ca="1" si="118"/>
        <v>0</v>
      </c>
      <c r="R242" s="381"/>
      <c r="S242" s="292" t="s">
        <v>1944</v>
      </c>
      <c r="T242" s="270">
        <v>4.0999999999999996</v>
      </c>
      <c r="U242" s="270">
        <f t="shared" si="119"/>
        <v>0.5</v>
      </c>
      <c r="V242" s="270">
        <f t="shared" si="128"/>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17"/>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121"/>
        <v>1</v>
      </c>
      <c r="Q243" s="247">
        <f t="shared" ca="1" si="118"/>
        <v>0</v>
      </c>
      <c r="R243" s="381"/>
      <c r="S243" s="292" t="s">
        <v>1944</v>
      </c>
      <c r="T243" s="270">
        <v>4.0999999999999996</v>
      </c>
      <c r="U243" s="270">
        <f t="shared" si="119"/>
        <v>0.5</v>
      </c>
      <c r="V243" s="270">
        <f t="shared" si="128"/>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17"/>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121"/>
        <v>1</v>
      </c>
      <c r="Q244" s="247">
        <f t="shared" ca="1" si="118"/>
        <v>0</v>
      </c>
      <c r="R244" s="381"/>
      <c r="S244" s="292" t="s">
        <v>1944</v>
      </c>
      <c r="T244" s="270">
        <v>4.0999999999999996</v>
      </c>
      <c r="U244" s="270">
        <f t="shared" si="119"/>
        <v>0.5</v>
      </c>
      <c r="V244" s="270">
        <f t="shared" si="128"/>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17"/>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121"/>
        <v>1</v>
      </c>
      <c r="Q245" s="247">
        <f t="shared" ca="1" si="118"/>
        <v>0</v>
      </c>
      <c r="R245" s="381"/>
      <c r="S245" s="292" t="s">
        <v>1944</v>
      </c>
      <c r="T245" s="270">
        <v>4.0999999999999996</v>
      </c>
      <c r="U245" s="270">
        <f t="shared" si="119"/>
        <v>0.5</v>
      </c>
      <c r="V245" s="270">
        <f t="shared" si="128"/>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17"/>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121"/>
        <v>1</v>
      </c>
      <c r="Q246" s="247">
        <f t="shared" ca="1" si="118"/>
        <v>0</v>
      </c>
      <c r="R246" s="381"/>
      <c r="S246" s="292" t="s">
        <v>1944</v>
      </c>
      <c r="T246" s="270">
        <v>4.0999999999999996</v>
      </c>
      <c r="U246" s="270">
        <f t="shared" si="119"/>
        <v>0.5</v>
      </c>
      <c r="V246" s="270">
        <f t="shared" si="128"/>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117"/>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121"/>
        <v>1</v>
      </c>
      <c r="Q247" s="247">
        <f t="shared" ca="1" si="118"/>
        <v>0</v>
      </c>
      <c r="R247" s="381"/>
      <c r="S247" s="292" t="s">
        <v>1944</v>
      </c>
      <c r="T247" s="270">
        <v>4.0999999999999996</v>
      </c>
      <c r="U247" s="270">
        <f t="shared" si="119"/>
        <v>0.5</v>
      </c>
      <c r="V247" s="270">
        <f t="shared" si="128"/>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117"/>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121"/>
        <v>1</v>
      </c>
      <c r="Q248" s="247">
        <f t="shared" ca="1" si="118"/>
        <v>0</v>
      </c>
      <c r="R248" s="381"/>
      <c r="S248" s="292" t="s">
        <v>1944</v>
      </c>
      <c r="T248" s="270">
        <v>4.0999999999999996</v>
      </c>
      <c r="U248" s="270">
        <f t="shared" si="119"/>
        <v>0.5</v>
      </c>
      <c r="V248" s="270">
        <f t="shared" si="128"/>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117"/>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121"/>
        <v>1</v>
      </c>
      <c r="Q249" s="247">
        <f t="shared" ca="1" si="118"/>
        <v>0</v>
      </c>
      <c r="R249" s="381"/>
      <c r="S249" s="292" t="s">
        <v>1944</v>
      </c>
      <c r="T249" s="270">
        <v>4.0999999999999996</v>
      </c>
      <c r="U249" s="270">
        <f t="shared" si="119"/>
        <v>0.5</v>
      </c>
      <c r="V249" s="270">
        <f t="shared" si="128"/>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2008</v>
      </c>
      <c r="F250" s="239" t="s">
        <v>1972</v>
      </c>
      <c r="G250" s="255" t="s">
        <v>1951</v>
      </c>
      <c r="H250" s="275" t="s">
        <v>2009</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 t="shared" ref="Q250" si="129">O250-P250</f>
        <v>0</v>
      </c>
      <c r="R250" s="380" t="s">
        <v>2063</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1950</v>
      </c>
      <c r="F251" s="239" t="s">
        <v>1972</v>
      </c>
      <c r="G251" s="255" t="s">
        <v>1951</v>
      </c>
      <c r="H251" s="275" t="s">
        <v>2009</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t="shared" ref="P251" ca="1" si="130">IF(TODAY()&lt;=L251,0,MIN((TODAY()-L251)/(M251-L251+1),100%))</f>
        <v>0</v>
      </c>
      <c r="Q251" s="247">
        <f t="shared" ref="Q251" ca="1" si="131">O251-P251</f>
        <v>0</v>
      </c>
      <c r="R251" s="262" t="s">
        <v>2048</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1970</v>
      </c>
      <c r="D252" s="134"/>
      <c r="E252" s="241" t="s">
        <v>1952</v>
      </c>
      <c r="F252" s="137"/>
      <c r="G252" s="334"/>
      <c r="H252" s="134"/>
      <c r="I252" s="276"/>
      <c r="J252" s="285"/>
      <c r="K252" s="276"/>
      <c r="L252" s="311"/>
      <c r="M252" s="311"/>
      <c r="N252" s="311"/>
      <c r="O252" s="247"/>
      <c r="P252" s="247"/>
      <c r="Q252" s="247"/>
      <c r="R252" s="261"/>
      <c r="S252" s="280"/>
      <c r="T252" s="270">
        <f>SUM(T204:T251)*0.3</f>
        <v>46.139999999999965</v>
      </c>
      <c r="U252" s="270">
        <f t="shared" ref="U252" si="132">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95"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94" priority="90" operator="greaterThan">
      <formula>0</formula>
    </cfRule>
  </conditionalFormatting>
  <conditionalFormatting sqref="Y6:CI6 Y9:CI10">
    <cfRule type="cellIs" dxfId="93" priority="102" operator="notEqual">
      <formula>0</formula>
    </cfRule>
  </conditionalFormatting>
  <conditionalFormatting sqref="AO50:BT50">
    <cfRule type="cellIs" dxfId="92" priority="92" operator="greaterThan">
      <formula>0</formula>
    </cfRule>
  </conditionalFormatting>
  <conditionalFormatting sqref="AO70:BT73 BU70:CI75 AP74:AT74">
    <cfRule type="cellIs" dxfId="91" priority="47" operator="greaterThan">
      <formula>0</formula>
    </cfRule>
  </conditionalFormatting>
  <conditionalFormatting sqref="AO88:CI88">
    <cfRule type="cellIs" dxfId="90" priority="89" operator="greaterThan">
      <formula>0</formula>
    </cfRule>
  </conditionalFormatting>
  <conditionalFormatting sqref="BB216">
    <cfRule type="cellIs" dxfId="89" priority="55" operator="greaterThan">
      <formula>0</formula>
    </cfRule>
  </conditionalFormatting>
  <conditionalFormatting sqref="BU89:CI90">
    <cfRule type="cellIs" dxfId="88" priority="101" operator="greaterThan">
      <formula>0</formula>
    </cfRule>
  </conditionalFormatting>
  <conditionalFormatting sqref="V84 V86:V87">
    <cfRule type="cellIs" dxfId="87" priority="44" operator="notEqual">
      <formula>0</formula>
    </cfRule>
  </conditionalFormatting>
  <conditionalFormatting sqref="W84:BD84 BF84:CI84 W87:CI87">
    <cfRule type="cellIs" dxfId="86" priority="43" operator="greaterThan">
      <formula>0</formula>
    </cfRule>
  </conditionalFormatting>
  <conditionalFormatting sqref="V85">
    <cfRule type="cellIs" dxfId="85" priority="42" operator="notEqual">
      <formula>0</formula>
    </cfRule>
  </conditionalFormatting>
  <conditionalFormatting sqref="W85:BD85 BF85:CI85">
    <cfRule type="cellIs" dxfId="84" priority="41" operator="greaterThan">
      <formula>0</formula>
    </cfRule>
  </conditionalFormatting>
  <conditionalFormatting sqref="V93">
    <cfRule type="cellIs" dxfId="83" priority="40" operator="notEqual">
      <formula>0</formula>
    </cfRule>
  </conditionalFormatting>
  <conditionalFormatting sqref="W93:BG93 BI93:CI93">
    <cfRule type="cellIs" dxfId="82" priority="39" operator="greaterThan">
      <formula>0</formula>
    </cfRule>
  </conditionalFormatting>
  <conditionalFormatting sqref="V95">
    <cfRule type="cellIs" dxfId="81" priority="38" operator="notEqual">
      <formula>0</formula>
    </cfRule>
  </conditionalFormatting>
  <conditionalFormatting sqref="W95:BD95 BF95:BG95 BI95:CI95">
    <cfRule type="cellIs" dxfId="80" priority="37" operator="greaterThan">
      <formula>0</formula>
    </cfRule>
  </conditionalFormatting>
  <conditionalFormatting sqref="BE84">
    <cfRule type="cellIs" dxfId="79" priority="36" operator="greaterThan">
      <formula>0</formula>
    </cfRule>
  </conditionalFormatting>
  <conditionalFormatting sqref="BE85">
    <cfRule type="cellIs" dxfId="78" priority="35" operator="greaterThan">
      <formula>0</formula>
    </cfRule>
  </conditionalFormatting>
  <conditionalFormatting sqref="BE95">
    <cfRule type="cellIs" dxfId="77" priority="34" operator="greaterThan">
      <formula>0</formula>
    </cfRule>
  </conditionalFormatting>
  <conditionalFormatting sqref="BH93">
    <cfRule type="cellIs" dxfId="76" priority="33" operator="greaterThan">
      <formula>0</formula>
    </cfRule>
  </conditionalFormatting>
  <conditionalFormatting sqref="BH95">
    <cfRule type="cellIs" dxfId="75" priority="32" operator="greaterThan">
      <formula>0</formula>
    </cfRule>
  </conditionalFormatting>
  <conditionalFormatting sqref="W86:CI86">
    <cfRule type="cellIs" dxfId="74" priority="31" operator="greaterThan">
      <formula>0</formula>
    </cfRule>
  </conditionalFormatting>
  <conditionalFormatting sqref="BH83">
    <cfRule type="cellIs" dxfId="73" priority="30" operator="greaterThan">
      <formula>0</formula>
    </cfRule>
  </conditionalFormatting>
  <conditionalFormatting sqref="W103:BG103 BI103:CI103">
    <cfRule type="cellIs" dxfId="72" priority="28" operator="greaterThan">
      <formula>0</formula>
    </cfRule>
  </conditionalFormatting>
  <conditionalFormatting sqref="V103">
    <cfRule type="cellIs" dxfId="71" priority="29" operator="notEqual">
      <formula>0</formula>
    </cfRule>
  </conditionalFormatting>
  <conditionalFormatting sqref="V105">
    <cfRule type="cellIs" dxfId="70" priority="27" operator="notEqual">
      <formula>0</formula>
    </cfRule>
  </conditionalFormatting>
  <conditionalFormatting sqref="W105:CI105">
    <cfRule type="cellIs" dxfId="69" priority="26" operator="greaterThan">
      <formula>0</formula>
    </cfRule>
  </conditionalFormatting>
  <conditionalFormatting sqref="V102">
    <cfRule type="cellIs" dxfId="68" priority="25" operator="notEqual">
      <formula>0</formula>
    </cfRule>
  </conditionalFormatting>
  <conditionalFormatting sqref="W102:CI102">
    <cfRule type="cellIs" dxfId="67" priority="24" operator="greaterThan">
      <formula>0</formula>
    </cfRule>
  </conditionalFormatting>
  <conditionalFormatting sqref="V104">
    <cfRule type="cellIs" dxfId="66" priority="23" operator="notEqual">
      <formula>0</formula>
    </cfRule>
  </conditionalFormatting>
  <conditionalFormatting sqref="W104:CI104">
    <cfRule type="cellIs" dxfId="65" priority="22" operator="greaterThan">
      <formula>0</formula>
    </cfRule>
  </conditionalFormatting>
  <conditionalFormatting sqref="BH103">
    <cfRule type="cellIs" dxfId="64" priority="21" operator="greaterThan">
      <formula>0</formula>
    </cfRule>
  </conditionalFormatting>
  <conditionalFormatting sqref="V136:V137">
    <cfRule type="cellIs" dxfId="63" priority="20" operator="notEqual">
      <formula>0</formula>
    </cfRule>
  </conditionalFormatting>
  <conditionalFormatting sqref="W136:CI137">
    <cfRule type="cellIs" dxfId="62" priority="19" operator="greaterThan">
      <formula>0</formula>
    </cfRule>
  </conditionalFormatting>
  <conditionalFormatting sqref="V135">
    <cfRule type="cellIs" dxfId="61" priority="18" operator="notEqual">
      <formula>0</formula>
    </cfRule>
  </conditionalFormatting>
  <conditionalFormatting sqref="W135:CI135">
    <cfRule type="cellIs" dxfId="60" priority="17" operator="greaterThan">
      <formula>0</formula>
    </cfRule>
  </conditionalFormatting>
  <conditionalFormatting sqref="V132:V133">
    <cfRule type="cellIs" dxfId="59" priority="16" operator="notEqual">
      <formula>0</formula>
    </cfRule>
  </conditionalFormatting>
  <conditionalFormatting sqref="W132:CI133">
    <cfRule type="cellIs" dxfId="58" priority="15" operator="greaterThan">
      <formula>0</formula>
    </cfRule>
  </conditionalFormatting>
  <conditionalFormatting sqref="V131">
    <cfRule type="cellIs" dxfId="57" priority="14" operator="notEqual">
      <formula>0</formula>
    </cfRule>
  </conditionalFormatting>
  <conditionalFormatting sqref="W131:CI131">
    <cfRule type="cellIs" dxfId="56" priority="13" operator="greaterThan">
      <formula>0</formula>
    </cfRule>
  </conditionalFormatting>
  <conditionalFormatting sqref="BM83">
    <cfRule type="cellIs" dxfId="55" priority="12" operator="greaterThan">
      <formula>0</formula>
    </cfRule>
  </conditionalFormatting>
  <conditionalFormatting sqref="CB83">
    <cfRule type="cellIs" dxfId="54" priority="11" operator="greaterThan">
      <formula>0</formula>
    </cfRule>
  </conditionalFormatting>
  <conditionalFormatting sqref="V163">
    <cfRule type="cellIs" dxfId="53" priority="10" operator="notEqual">
      <formula>0</formula>
    </cfRule>
  </conditionalFormatting>
  <conditionalFormatting sqref="W163:CI163">
    <cfRule type="cellIs" dxfId="52" priority="9" operator="greaterThan">
      <formula>0</formula>
    </cfRule>
  </conditionalFormatting>
  <conditionalFormatting sqref="V140">
    <cfRule type="cellIs" dxfId="51" priority="7" operator="notEqual">
      <formula>0</formula>
    </cfRule>
  </conditionalFormatting>
  <conditionalFormatting sqref="W140:CA140">
    <cfRule type="cellIs" dxfId="50" priority="6" operator="greaterThan">
      <formula>0</formula>
    </cfRule>
  </conditionalFormatting>
  <conditionalFormatting sqref="CG138:CG157">
    <cfRule type="cellIs" dxfId="49" priority="5" operator="greaterThan">
      <formula>0</formula>
    </cfRule>
  </conditionalFormatting>
  <conditionalFormatting sqref="V168">
    <cfRule type="cellIs" dxfId="48" priority="4" operator="notEqual">
      <formula>0</formula>
    </cfRule>
  </conditionalFormatting>
  <conditionalFormatting sqref="W168:CI168">
    <cfRule type="cellIs" dxfId="47" priority="3" operator="greaterThan">
      <formula>0</formula>
    </cfRule>
  </conditionalFormatting>
  <conditionalFormatting sqref="V167">
    <cfRule type="cellIs" dxfId="46" priority="2" operator="notEqual">
      <formula>0</formula>
    </cfRule>
  </conditionalFormatting>
  <conditionalFormatting sqref="W167:CI167">
    <cfRule type="cellIs" dxfId="45"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44" priority="2" operator="greaterThan">
      <formula>0</formula>
    </cfRule>
  </conditionalFormatting>
  <conditionalFormatting sqref="G7:BB7">
    <cfRule type="cellIs" dxfId="43"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sharepoint/v3"/>
    <ds:schemaRef ds:uri="http://schemas.openxmlformats.org/package/2006/metadata/core-properties"/>
    <ds:schemaRef ds:uri="6ea7b29d-57ec-408d-9ea9-cf73b04f66d5"/>
    <ds:schemaRef ds:uri="http://purl.org/dc/terms/"/>
    <ds:schemaRef ds:uri="http://purl.org/dc/dcmitype/"/>
    <ds:schemaRef ds:uri="http://schemas.microsoft.com/office/infopath/2007/PartnerControls"/>
    <ds:schemaRef ds:uri="http://purl.org/dc/elements/1.1/"/>
    <ds:schemaRef ds:uri="http://schemas.microsoft.com/office/2006/documentManagement/types"/>
    <ds:schemaRef ds:uri="0683c779-04fc-4b63-89c9-6c25ffa1c0a4"/>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75E1FADF-D51A-4A61-8BEB-C6FEB7CFD7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2025-01-11T18:48:34Z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