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Aux - Pivots2" sheetId="18" r:id="rId4"/>
    <sheet name="2. Status Detalhe Campos FY24" sheetId="17" r:id="rId5"/>
    <sheet name="Sheet1" sheetId="23" state="hidden" r:id="rId6"/>
    <sheet name="Aux - pivots1" sheetId="14" state="hidden" r:id="rId7"/>
    <sheet name="Caderno Testes FY24" sheetId="1"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4" hidden="1">'2. Status Detalhe Campos FY24'!$V$6:$V$269</definedName>
    <definedName name="_xlnm._FilterDatabase" localSheetId="7"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50" r:id="rId13"/>
    <pivotCache cacheId="351" r:id="rId14"/>
    <pivotCache cacheId="352" r:id="rId15"/>
    <pivotCache cacheId="353" r:id="rId16"/>
    <pivotCache cacheId="354" r:id="rId17"/>
    <pivotCache cacheId="355" r:id="rId18"/>
    <pivotCache cacheId="356" r:id="rId19"/>
    <pivotCache cacheId="35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M19" i="15" l="1"/>
  <c r="M20" i="15"/>
  <c r="J22" i="15" l="1"/>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M17" i="15"/>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28" i="15"/>
  <c r="Q29" i="15"/>
  <c r="Q30" i="15"/>
  <c r="Q31" i="15"/>
  <c r="Q32" i="15"/>
  <c r="Q33" i="15"/>
  <c r="Q34" i="15"/>
  <c r="Q35" i="15"/>
  <c r="Q36" i="15"/>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XES247" i="20" s="1"/>
  <c r="I286" i="20"/>
  <c r="J286" i="20" s="1"/>
  <c r="N286" i="20" s="1"/>
  <c r="O286" i="20" s="1"/>
  <c r="XEV247" i="20"/>
  <c r="XER247" i="20" s="1"/>
  <c r="XEN247" i="20" s="1"/>
  <c r="XEU247" i="20"/>
  <c r="XEQ247" i="20" s="1"/>
  <c r="U58" i="15"/>
  <c r="XET247" i="20" l="1"/>
  <c r="XEP247" i="20" s="1"/>
  <c r="XEM247" i="20"/>
  <c r="XEI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O247" i="20" l="1"/>
  <c r="XEJ247" i="20" s="1"/>
  <c r="XEE247" i="20"/>
  <c r="XEL247" i="20"/>
  <c r="XEH247" i="20" s="1"/>
  <c r="XED247" i="20" s="1"/>
  <c r="XDZ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K247" i="20" l="1"/>
  <c r="XEF247" i="20" s="1"/>
  <c r="XEG247" i="20"/>
  <c r="XEC247" i="20" s="1"/>
  <c r="XDY247" i="20" s="1"/>
  <c r="XDU247" i="20" s="1"/>
  <c r="N289" i="20"/>
  <c r="O289" i="20" s="1"/>
  <c r="N292" i="20"/>
  <c r="O292" i="20" s="1"/>
  <c r="N291" i="20"/>
  <c r="O291" i="20" s="1"/>
  <c r="N290" i="20"/>
  <c r="O290" i="20" s="1"/>
  <c r="R17" i="15"/>
  <c r="XEB247" i="20" l="1"/>
  <c r="XDX247" i="20" s="1"/>
  <c r="XDT247" i="20" s="1"/>
  <c r="XDP247" i="20" s="1"/>
  <c r="XEA247" i="20"/>
  <c r="N37" i="15"/>
  <c r="M37" i="15"/>
  <c r="L37" i="15"/>
  <c r="L21" i="15"/>
  <c r="L20" i="15"/>
  <c r="L18" i="15"/>
  <c r="L17" i="15"/>
  <c r="L15" i="15"/>
  <c r="L14" i="15"/>
  <c r="L19" i="15"/>
  <c r="L16" i="15"/>
  <c r="XDW247" i="20" l="1"/>
  <c r="XDS247" i="20" s="1"/>
  <c r="XDO247" i="20" s="1"/>
  <c r="XDK247" i="20" s="1"/>
  <c r="XDV247" i="20"/>
  <c r="O28" i="15"/>
  <c r="O30" i="15"/>
  <c r="O36" i="15"/>
  <c r="O31" i="15"/>
  <c r="O32" i="15"/>
  <c r="O34" i="15"/>
  <c r="O33" i="15"/>
  <c r="O29" i="15"/>
  <c r="O35" i="15"/>
  <c r="L13" i="15"/>
  <c r="XDR247" i="20" l="1"/>
  <c r="XDN247" i="20" s="1"/>
  <c r="XDJ247" i="20" s="1"/>
  <c r="XDF247" i="20" s="1"/>
  <c r="XDQ247" i="20"/>
  <c r="O37" i="15"/>
  <c r="L22" i="15"/>
  <c r="XDM247" i="20" l="1"/>
  <c r="XDI247" i="20" s="1"/>
  <c r="XDE247" i="20" s="1"/>
  <c r="XDA247" i="20" s="1"/>
  <c r="XDL247" i="20"/>
  <c r="XDH247" i="20" l="1"/>
  <c r="XDD247" i="20" s="1"/>
  <c r="XCZ247" i="20" s="1"/>
  <c r="XCV247" i="20" s="1"/>
  <c r="XDG247" i="20"/>
  <c r="XDC247" i="20" l="1"/>
  <c r="XCY247" i="20" s="1"/>
  <c r="XCU247" i="20" s="1"/>
  <c r="XCQ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CX247" i="20" l="1"/>
  <c r="XCT247" i="20" s="1"/>
  <c r="XCP247" i="20" s="1"/>
  <c r="XCL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S247" i="20" l="1"/>
  <c r="XCO247" i="20" s="1"/>
  <c r="XCK247" i="20" s="1"/>
  <c r="XCG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N247" i="20" l="1"/>
  <c r="XCJ247" i="20" s="1"/>
  <c r="XCF247" i="20" s="1"/>
  <c r="XCB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I247" i="20" l="1"/>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9" i="15"/>
  <c r="T103" i="15"/>
  <c r="U159" i="15"/>
  <c r="XAK247" i="20" l="1"/>
  <c r="XAG247" i="20" s="1"/>
  <c r="XAC247" i="20" s="1"/>
  <c r="WZY247" i="20" s="1"/>
  <c r="XAJ247" i="20"/>
  <c r="U103"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9" i="15"/>
  <c r="T181" i="15"/>
  <c r="T171" i="15"/>
  <c r="T193" i="15"/>
  <c r="T192" i="15"/>
  <c r="T176" i="15"/>
  <c r="T183" i="15"/>
  <c r="T174" i="15"/>
  <c r="T188" i="15"/>
  <c r="T180" i="15"/>
  <c r="T170" i="15"/>
  <c r="T185" i="15"/>
  <c r="T163" i="15"/>
  <c r="T162" i="15"/>
  <c r="T175" i="15"/>
  <c r="T182" i="15"/>
  <c r="T164" i="15"/>
  <c r="T195" i="15"/>
  <c r="T187" i="15"/>
  <c r="T179" i="15"/>
  <c r="T169" i="15"/>
  <c r="T167" i="15"/>
  <c r="T166" i="15"/>
  <c r="T165" i="15"/>
  <c r="T190" i="15"/>
  <c r="T194" i="15"/>
  <c r="T186" i="15"/>
  <c r="T178" i="15"/>
  <c r="T168" i="15"/>
  <c r="T177" i="15"/>
  <c r="T184" i="15"/>
  <c r="T191" i="15"/>
  <c r="T80" i="15"/>
  <c r="T72" i="15"/>
  <c r="T64" i="15"/>
  <c r="T127" i="15"/>
  <c r="T119" i="15"/>
  <c r="T111" i="15"/>
  <c r="T118" i="15"/>
  <c r="T68" i="15"/>
  <c r="T123" i="15"/>
  <c r="T121" i="15"/>
  <c r="T128" i="15"/>
  <c r="T112" i="15"/>
  <c r="T79" i="15"/>
  <c r="T71" i="15"/>
  <c r="T63" i="15"/>
  <c r="T126" i="15"/>
  <c r="T110" i="15"/>
  <c r="T107" i="15"/>
  <c r="T113" i="15"/>
  <c r="T120" i="15"/>
  <c r="T161" i="15"/>
  <c r="T78" i="15"/>
  <c r="T70" i="15"/>
  <c r="T62" i="15"/>
  <c r="T125" i="15"/>
  <c r="T117" i="15"/>
  <c r="T109" i="15"/>
  <c r="T60" i="15"/>
  <c r="T66" i="15"/>
  <c r="T73" i="15"/>
  <c r="T85" i="15"/>
  <c r="T77" i="15"/>
  <c r="T69" i="15"/>
  <c r="T61" i="15"/>
  <c r="T124" i="15"/>
  <c r="T116" i="15"/>
  <c r="T108" i="15"/>
  <c r="T76" i="15"/>
  <c r="T115" i="15"/>
  <c r="T129" i="15"/>
  <c r="T65" i="15"/>
  <c r="T84" i="15"/>
  <c r="T105" i="15"/>
  <c r="T83" i="15"/>
  <c r="T75" i="15"/>
  <c r="T67" i="15"/>
  <c r="T130" i="15"/>
  <c r="T122" i="15"/>
  <c r="T114" i="15"/>
  <c r="T106" i="15"/>
  <c r="T82" i="15"/>
  <c r="T74" i="15"/>
  <c r="T81"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8" i="15" l="1"/>
  <c r="T198" i="15"/>
  <c r="T199" i="15"/>
  <c r="T87" i="15"/>
  <c r="T132" i="15"/>
  <c r="T133" i="15"/>
  <c r="WTC247" i="20"/>
  <c r="WSY247" i="20" s="1"/>
  <c r="WSU247" i="20" s="1"/>
  <c r="WSQ247" i="20" s="1"/>
  <c r="WTB247" i="20"/>
  <c r="T59" i="15"/>
  <c r="T86" i="15" s="1"/>
  <c r="T160" i="15"/>
  <c r="T104" i="15"/>
  <c r="T131"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44" i="20"/>
  <c r="G65" i="17" s="1"/>
  <c r="G43" i="20"/>
  <c r="G64" i="17" s="1"/>
  <c r="G33" i="20"/>
  <c r="G54" i="17" s="1"/>
  <c r="G38" i="20"/>
  <c r="G39" i="20"/>
  <c r="G35" i="20"/>
  <c r="G56" i="17" s="1"/>
  <c r="G40" i="20"/>
  <c r="G69" i="20"/>
  <c r="G45" i="20"/>
  <c r="G66" i="17" s="1"/>
  <c r="G47" i="20"/>
  <c r="G68" i="17" s="1"/>
  <c r="G32" i="20"/>
  <c r="G53" i="17" s="1"/>
  <c r="G67" i="20"/>
  <c r="G50" i="20"/>
  <c r="G71" i="17" s="1"/>
  <c r="G71" i="20"/>
  <c r="G70" i="20"/>
  <c r="G54" i="20"/>
  <c r="G53" i="20"/>
  <c r="G74" i="17" s="1"/>
  <c r="G51" i="20"/>
  <c r="G72" i="17" s="1"/>
  <c r="G48" i="20"/>
  <c r="G69" i="17" s="1"/>
  <c r="G37" i="20"/>
  <c r="G36" i="20"/>
  <c r="G57" i="17" s="1"/>
  <c r="G42" i="20"/>
  <c r="G63" i="17" s="1"/>
  <c r="G68" i="20"/>
  <c r="G89" i="17" s="1"/>
  <c r="G49" i="20"/>
  <c r="G72" i="20"/>
  <c r="G93" i="17" s="1"/>
  <c r="G34" i="20"/>
  <c r="G55" i="17" s="1"/>
  <c r="G31" i="20"/>
  <c r="G52" i="17" s="1"/>
  <c r="G30" i="20"/>
  <c r="G52" i="20"/>
  <c r="G73" i="17" s="1"/>
  <c r="G27" i="20"/>
  <c r="G56" i="20"/>
  <c r="G59" i="20"/>
  <c r="G60" i="20"/>
  <c r="G81" i="17" s="1"/>
  <c r="G55" i="20"/>
  <c r="G76" i="17" s="1"/>
  <c r="G722" i="20"/>
  <c r="G65" i="20"/>
  <c r="G61" i="20"/>
  <c r="G82" i="17" s="1"/>
  <c r="G58" i="20"/>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2" i="17"/>
  <c r="G60" i="17"/>
  <c r="G59" i="17"/>
  <c r="G70" i="17"/>
  <c r="G90" i="17"/>
  <c r="G61" i="17"/>
  <c r="J413" i="1"/>
  <c r="G67" i="17"/>
  <c r="G51" i="17"/>
  <c r="G88" i="17"/>
  <c r="G91" i="17"/>
  <c r="G62" i="17"/>
  <c r="G75"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79" i="17"/>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80" i="17"/>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70" i="15" l="1"/>
  <c r="V70"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72" i="15"/>
  <c r="U67" i="15"/>
  <c r="V67" i="15" s="1"/>
  <c r="U114" i="15"/>
  <c r="V114" i="15" s="1"/>
  <c r="U80" i="15"/>
  <c r="V80" i="15" s="1"/>
  <c r="U127" i="15"/>
  <c r="V127" i="15" s="1"/>
  <c r="U63" i="15"/>
  <c r="V63" i="15" s="1"/>
  <c r="U68" i="15"/>
  <c r="V68" i="15" s="1"/>
  <c r="U111" i="15"/>
  <c r="V111" i="15" s="1"/>
  <c r="U122" i="15"/>
  <c r="V122" i="15" s="1"/>
  <c r="U176" i="15"/>
  <c r="V176" i="15" s="1"/>
  <c r="U115" i="15"/>
  <c r="V115" i="15" s="1"/>
  <c r="U83" i="15"/>
  <c r="V83" i="15" s="1"/>
  <c r="U60" i="15"/>
  <c r="U82" i="15"/>
  <c r="V82" i="15" s="1"/>
  <c r="U123" i="15"/>
  <c r="V123" i="15" s="1"/>
  <c r="U74" i="15"/>
  <c r="V74" i="15" s="1"/>
  <c r="U104" i="15"/>
  <c r="U173" i="15"/>
  <c r="U164" i="15"/>
  <c r="V164" i="15" s="1"/>
  <c r="U124" i="15"/>
  <c r="V124" i="15" s="1"/>
  <c r="U61" i="15"/>
  <c r="U161" i="15"/>
  <c r="U109" i="15"/>
  <c r="V109" i="15" s="1"/>
  <c r="U75" i="15"/>
  <c r="V75" i="15" s="1"/>
  <c r="U72" i="15"/>
  <c r="V72" i="15" s="1"/>
  <c r="U168" i="15"/>
  <c r="V168" i="15" s="1"/>
  <c r="U79" i="15"/>
  <c r="V79" i="15" s="1"/>
  <c r="U66" i="15"/>
  <c r="V66" i="15" s="1"/>
  <c r="U117" i="15"/>
  <c r="V117" i="15" s="1"/>
  <c r="U105" i="15"/>
  <c r="U192" i="15"/>
  <c r="V192" i="15" s="1"/>
  <c r="U188" i="15"/>
  <c r="V188" i="15" s="1"/>
  <c r="U121" i="15"/>
  <c r="V121" i="15" s="1"/>
  <c r="U118" i="15"/>
  <c r="V118" i="15" s="1"/>
  <c r="U84" i="15"/>
  <c r="V84" i="15" s="1"/>
  <c r="U125" i="15"/>
  <c r="V125" i="15" s="1"/>
  <c r="U160" i="15"/>
  <c r="U165" i="15"/>
  <c r="V165" i="15" s="1"/>
  <c r="U73" i="15"/>
  <c r="V73" i="15" s="1"/>
  <c r="U71" i="15"/>
  <c r="V71" i="15" s="1"/>
  <c r="U126" i="15"/>
  <c r="V126" i="15" s="1"/>
  <c r="U181" i="15"/>
  <c r="V181" i="15" s="1"/>
  <c r="U65" i="15"/>
  <c r="V65" i="15" s="1"/>
  <c r="U130" i="15"/>
  <c r="V130" i="15" s="1"/>
  <c r="U81" i="15"/>
  <c r="V81" i="15" s="1"/>
  <c r="U77" i="15"/>
  <c r="V77" i="15" s="1"/>
  <c r="U59" i="15"/>
  <c r="U169" i="15"/>
  <c r="V169" i="15" s="1"/>
  <c r="U185" i="15"/>
  <c r="V185" i="15" s="1"/>
  <c r="U129" i="15"/>
  <c r="V129" i="15" s="1"/>
  <c r="U107" i="15"/>
  <c r="V107" i="15" s="1"/>
  <c r="U64" i="15"/>
  <c r="V64" i="15" s="1"/>
  <c r="U189" i="15"/>
  <c r="V189" i="15" s="1"/>
  <c r="U78" i="15"/>
  <c r="V78" i="15" s="1"/>
  <c r="U76" i="15"/>
  <c r="V76" i="15" s="1"/>
  <c r="U116" i="15"/>
  <c r="V116" i="15" s="1"/>
  <c r="U69" i="15"/>
  <c r="V69" i="15" s="1"/>
  <c r="U106" i="15"/>
  <c r="U180" i="15"/>
  <c r="V180" i="15" s="1"/>
  <c r="U193" i="15"/>
  <c r="V193" i="15" s="1"/>
  <c r="U128" i="15"/>
  <c r="V128" i="15" s="1"/>
  <c r="U119" i="15"/>
  <c r="V119" i="15" s="1"/>
  <c r="U110" i="15"/>
  <c r="V110" i="15" s="1"/>
  <c r="U112" i="15"/>
  <c r="V112" i="15" s="1"/>
  <c r="U113" i="15"/>
  <c r="V113" i="15" s="1"/>
  <c r="U177" i="15"/>
  <c r="V177" i="15" s="1"/>
  <c r="U184" i="15"/>
  <c r="V184" i="15" s="1"/>
  <c r="U108" i="15"/>
  <c r="V108" i="15" s="1"/>
  <c r="U85" i="15"/>
  <c r="V85" i="15" s="1"/>
  <c r="U120" i="15"/>
  <c r="V120" i="15" s="1"/>
  <c r="U62" i="15"/>
  <c r="V62"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90" i="15"/>
  <c r="V190" i="15" s="1"/>
  <c r="U183" i="15"/>
  <c r="V183" i="15" s="1"/>
  <c r="U163" i="15"/>
  <c r="U179" i="15"/>
  <c r="V179" i="15" s="1"/>
  <c r="U195" i="15"/>
  <c r="V195" i="15" s="1"/>
  <c r="U191" i="15"/>
  <c r="V191" i="15" s="1"/>
  <c r="U167" i="15"/>
  <c r="V167" i="15" s="1"/>
  <c r="U187" i="15"/>
  <c r="V187" i="15" s="1"/>
  <c r="U186" i="15"/>
  <c r="V186" i="15" s="1"/>
  <c r="U182" i="15"/>
  <c r="V182" i="15" s="1"/>
  <c r="U175" i="15"/>
  <c r="V175" i="15" s="1"/>
  <c r="U166" i="15"/>
  <c r="V166" i="15" s="1"/>
  <c r="U174" i="15"/>
  <c r="V174" i="15" s="1"/>
  <c r="U178" i="15"/>
  <c r="V178" i="15" s="1"/>
  <c r="U171" i="15"/>
  <c r="V171" i="15" s="1"/>
  <c r="U162" i="15"/>
  <c r="U194" i="15"/>
  <c r="V194" i="15" s="1"/>
  <c r="U170" i="15"/>
  <c r="V170" i="15" s="1"/>
  <c r="O161" i="21"/>
  <c r="Q161" i="21" s="1"/>
  <c r="Q162" i="21"/>
  <c r="O86" i="21"/>
  <c r="Q86" i="21" s="1"/>
  <c r="Q87" i="21"/>
  <c r="O46" i="21"/>
  <c r="Q46" i="21" s="1"/>
  <c r="Q47" i="21"/>
  <c r="O80" i="21"/>
  <c r="Q80" i="21" s="1"/>
  <c r="Q81" i="21"/>
  <c r="O83" i="21"/>
  <c r="Q83" i="21" s="1"/>
  <c r="Q84" i="21"/>
  <c r="T13" i="15" l="1"/>
  <c r="N21" i="15"/>
  <c r="T12" i="15"/>
  <c r="N20" i="15"/>
  <c r="R29" i="15"/>
  <c r="M18" i="15"/>
  <c r="N18" i="15" s="1"/>
  <c r="T16" i="15"/>
  <c r="N17" i="15"/>
  <c r="M15" i="15"/>
  <c r="N15" i="15" s="1"/>
  <c r="R32" i="15"/>
  <c r="M14" i="15"/>
  <c r="N14" i="15" s="1"/>
  <c r="T14" i="15"/>
  <c r="R36" i="15"/>
  <c r="T173" i="15"/>
  <c r="T197" i="15" s="1"/>
  <c r="R30" i="15"/>
  <c r="R35" i="15"/>
  <c r="T15" i="15"/>
  <c r="R33" i="15"/>
  <c r="T172" i="15"/>
  <c r="T196" i="15" s="1"/>
  <c r="R34" i="15"/>
  <c r="R31" i="15"/>
  <c r="N19" i="15"/>
  <c r="M16" i="15"/>
  <c r="N16" i="15" s="1"/>
  <c r="M13" i="15"/>
  <c r="V104" i="15"/>
  <c r="U131" i="15"/>
  <c r="V59" i="15"/>
  <c r="U86" i="15"/>
  <c r="O148" i="21"/>
  <c r="Q152" i="21"/>
  <c r="V162" i="15"/>
  <c r="U198" i="15"/>
  <c r="U132" i="15"/>
  <c r="V132" i="15" s="1"/>
  <c r="V105" i="15"/>
  <c r="V60" i="15"/>
  <c r="U87" i="15"/>
  <c r="V87" i="15" s="1"/>
  <c r="U133" i="15"/>
  <c r="V133" i="15" s="1"/>
  <c r="V106" i="15"/>
  <c r="O130" i="21"/>
  <c r="Q130" i="21" s="1"/>
  <c r="Q132" i="21"/>
  <c r="V163" i="15"/>
  <c r="U199" i="15"/>
  <c r="V199" i="15" s="1"/>
  <c r="V161" i="15"/>
  <c r="U197" i="15"/>
  <c r="U196" i="15"/>
  <c r="V160" i="15"/>
  <c r="V61" i="15"/>
  <c r="U88" i="15"/>
  <c r="V88" i="15" s="1"/>
  <c r="V196" i="15" l="1"/>
  <c r="M22" i="15"/>
  <c r="N13" i="15"/>
  <c r="N22" i="15" s="1"/>
  <c r="R28" i="15"/>
  <c r="R37" i="15" s="1"/>
  <c r="T17" i="15"/>
  <c r="V172" i="15"/>
  <c r="V173" i="15"/>
  <c r="E169" i="15"/>
  <c r="V198" i="15"/>
  <c r="O144" i="21"/>
  <c r="Q144" i="21" s="1"/>
  <c r="Q148" i="21"/>
  <c r="V197" i="15"/>
  <c r="E189" i="15"/>
  <c r="V86" i="15"/>
  <c r="D68" i="15"/>
  <c r="V131" i="15"/>
  <c r="D116"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<sst xmlns="http://schemas.openxmlformats.org/spreadsheetml/2006/main" count="35424" uniqueCount="2455">
  <si>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</si>
  <si>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</si>
  <si>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</si>
  <si>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</si>
  <si>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</si>
  <si>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</si>
  <si>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</si>
  <si>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</si>
  <si>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</si>
  <si>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</si>
  <si>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</si>
  <si>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</si>
  <si>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</si>
  <si>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</si>
  <si>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</si>
  <si>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</si>
  <si>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</si>
  <si>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</si>
  <si>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</si>
  <si>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</si>
  <si>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</si>
  <si>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</si>
  <si>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</si>
  <si>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</si>
  <si>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</si>
  <si>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</si>
  <si>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</si>
  <si>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</si>
  <si>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</si>
  <si>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</si>
  <si>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</si>
  <si>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</si>
  <si>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</si>
  <si>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</si>
  <si>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</si>
  <si>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</si>
  <si>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</si>
  <si>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</si>
  <si>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</si>
  <si>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</si>
  <si>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</si>
  <si>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</si>
  <si>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</si>
  <si>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</si>
  <si>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</si>
  <si>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</si>
  <si>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</si>
  <si>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</si>
  <si>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</si>
  <si>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</si>
  <si>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</si>
  <si>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</si>
  <si>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</si>
  <si>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</si>
  <si>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</si>
  <si>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</si>
  <si>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</si>
  <si>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</si>
  <si>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</si>
  <si>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</si>
  <si>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</si>
  <si>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</si>
  <si>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</si>
  <si>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</si>
  <si>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</si>
  <si>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</si>
  <si>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</si>
  <si>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</si>
  <si>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</si>
  <si>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</si>
  <si>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</si>
  <si>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</si>
  <si>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</si>
  <si>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</si>
  <si>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</si>
  <si>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</si>
  <si>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</si>
  <si>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</si>
  <si>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</si>
  <si>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</si>
  <si>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</si>
  <si>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</si>
  <si>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</si>
  <si>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</si>
  <si>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</si>
  <si>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</si>
  <si>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</si>
  <si>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</si>
  <si>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</si>
  <si>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</si>
  <si>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</si>
  <si>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</si>
  <si>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</si>
  <si>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</si>
  <si>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</si>
  <si>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</si>
  <si>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</si>
  <si>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</si>
  <si>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</si>
  <si>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</si>
  <si>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</si>
  <si>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</si>
  <si>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</si>
  <si>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</si>
  <si>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</si>
  <si>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</si>
  <si>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</si>
  <si>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</si>
  <si>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</si>
  <si>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</si>
  <si>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</si>
  <si>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</si>
  <si>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</si>
  <si>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</si>
  <si>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</si>
  <si>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</si>
  <si>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</si>
  <si>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</si>
  <si>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</si>
  <si>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</si>
  <si>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</si>
  <si>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</si>
  <si>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</si>
  <si>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</si>
  <si>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</si>
  <si>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</si>
  <si>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</si>
  <si>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</si>
  <si>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</si>
  <si>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</si>
  <si>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</si>
  <si>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</si>
  <si>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</si>
  <si>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</si>
  <si>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</si>
  <si>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</si>
  <si>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</si>
  <si>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</si>
  <si>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</si>
  <si>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</si>
  <si>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</si>
  <si>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</si>
  <si>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</si>
  <si>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</si>
  <si>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</si>
  <si>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</si>
  <si>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</si>
  <si>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</si>
  <si>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</si>
  <si>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</si>
  <si>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</si>
  <si>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</si>
  <si>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</si>
  <si>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</si>
  <si>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</si>
  <si>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</si>
  <si>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</si>
  <si>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</si>
  <si>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</si>
  <si>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</si>
  <si>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</si>
  <si>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</si>
  <si>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</si>
  <si>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</si>
  <si>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</si>
  <si>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</si>
  <si>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</si>
  <si>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</si>
  <si>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</si>
  <si>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</si>
  <si>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</si>
  <si>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</si>
  <si>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</si>
  <si>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</si>
  <si>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</si>
  <si>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</si>
  <si>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</si>
  <si>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</si>
  <si>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</si>
  <si>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</si>
  <si>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</si>
  <si>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</si>
  <si>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</si>
  <si>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</si>
  <si>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</si>
  <si>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</si>
  <si>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</si>
  <si>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</si>
  <si>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</si>
  <si>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</si>
  <si>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</si>
  <si>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</si>
  <si>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</si>
  <si>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</si>
  <si>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</si>
  <si>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</si>
  <si>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</si>
  <si>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</si>
  <si>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</si>
  <si>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</si>
  <si>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</si>
  <si>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</si>
  <si>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</si>
  <si>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</si>
  <si>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</si>
  <si>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</si>
  <si>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</si>
  <si>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</si>
  <si>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</si>
  <si>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</si>
  <si>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</si>
  <si>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</si>
  <si>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</si>
  <si>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</si>
  <si>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</si>
  <si>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</si>
  <si>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</si>
  <si>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</si>
  <si>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</si>
  <si>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</si>
  <si>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</si>
  <si>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</si>
  <si>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</si>
  <si>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</si>
  <si>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</si>
  <si>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</si>
  <si>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</si>
  <si>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</si>
  <si>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</si>
  <si>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</si>
  <si>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</si>
  <si>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</si>
  <si>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</si>
  <si>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</si>
  <si>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</si>
  <si>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</si>
  <si>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</si>
  <si>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</si>
  <si>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</si>
  <si>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</si>
  <si>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</si>
  <si>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</si>
  <si>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</si>
  <si>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</si>
  <si>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</si>
  <si>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</si>
  <si>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</si>
  <si>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</si>
  <si>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</si>
  <si>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</si>
  <si>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</si>
  <si>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</si>
  <si>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</si>
  <si>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</si>
  <si>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</si>
  <si>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</si>
  <si>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</si>
  <si>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</si>
  <si>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</si>
  <si>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</si>
  <si>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</si>
  <si>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</si>
  <si>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</si>
  <si>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</si>
  <si>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</si>
  <si>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</si>
  <si>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</si>
  <si>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</si>
  <si>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</si>
  <si>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</si>
  <si>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</si>
  <si>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</si>
  <si>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</si>
  <si>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</si>
  <si>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</si>
  <si>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</si>
  <si>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</si>
  <si>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</si>
  <si>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</si>
  <si>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</si>
  <si>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</si>
  <si>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</si>
  <si>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</si>
  <si>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</si>
  <si>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</si>
  <si>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</si>
  <si>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</si>
  <si>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</si>
  <si>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</si>
  <si>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</si>
  <si>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</si>
  <si>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</si>
  <si>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</si>
  <si>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</si>
  <si>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</si>
  <si>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</si>
  <si>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</si>
  <si>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</si>
  <si>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</si>
  <si>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</si>
  <si>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</si>
  <si>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</si>
  <si>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</si>
  <si>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</si>
  <si>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</si>
  <si>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</si>
  <si>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</si>
  <si>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</si>
  <si>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</si>
  <si>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</si>
  <si>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</si>
  <si>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</si>
  <si>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</si>
  <si>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</si>
  <si>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</si>
  <si>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</si>
  <si>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</si>
  <si>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</si>
  <si>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</si>
  <si>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</si>
  <si>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</si>
  <si>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</si>
  <si>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</si>
  <si>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</si>
  <si>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</si>
  <si>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</si>
  <si>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</si>
  <si>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</si>
  <si>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</si>
  <si>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</si>
  <si>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</si>
  <si>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</si>
  <si>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</si>
  <si>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</si>
  <si>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</si>
  <si>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</si>
  <si>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</si>
  <si>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</si>
  <si>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</si>
  <si>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</si>
  <si>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</si>
  <si>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</si>
  <si>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</si>
  <si>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</si>
  <si>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</si>
  <si>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</si>
  <si>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</si>
  <si>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</si>
  <si>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</si>
  <si>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</si>
  <si>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</si>
  <si>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</si>
  <si>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</si>
  <si>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</si>
  <si>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</si>
  <si>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</si>
  <si>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</si>
  <si>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</si>
  <si>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</si>
  <si>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</si>
  <si>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</si>
  <si>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</si>
  <si>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</si>
  <si>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</si>
  <si>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</si>
  <si>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</si>
  <si>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</si>
  <si>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</si>
  <si>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</si>
  <si>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</si>
  <si>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</si>
  <si>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</si>
  <si>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</si>
  <si>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</si>
  <si>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</si>
  <si>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</si>
  <si>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</si>
  <si>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</si>
  <si>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</si>
  <si>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</si>
  <si>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</si>
  <si>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</si>
  <si>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</si>
  <si>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</si>
  <si>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</si>
  <si>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</si>
  <si>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</si>
  <si>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</si>
  <si>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</si>
  <si>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</si>
  <si>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</si>
  <si>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</si>
  <si>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</si>
  <si>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</si>
  <si>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</si>
  <si>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</si>
  <si>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</si>
  <si>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</si>
  <si>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</si>
  <si>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</si>
  <si>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</si>
  <si>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</si>
  <si>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</si>
  <si>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</si>
  <si>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</si>
  <si>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</si>
  <si>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</si>
  <si>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</si>
  <si>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</si>
  <si>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</si>
  <si>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</si>
  <si>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</si>
  <si>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</si>
  <si>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</si>
  <si>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</si>
  <si>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</si>
  <si>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</si>
  <si>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</si>
  <si>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</si>
  <si>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</si>
  <si>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</si>
  <si>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</si>
  <si>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</si>
  <si>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</si>
  <si>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</si>
  <si>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</si>
  <si>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</si>
  <si>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</si>
  <si>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</si>
  <si>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</si>
  <si>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</si>
  <si>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</si>
  <si>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</si>
  <si>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</si>
  <si>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</si>
  <si>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</si>
  <si>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</si>
  <si>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</si>
  <si>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</si>
  <si>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</si>
  <si>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</si>
  <si>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</si>
  <si>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</si>
  <si>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</si>
  <si>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</si>
  <si>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</si>
  <si>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</si>
  <si>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</si>
  <si>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</si>
  <si>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</si>
  <si>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</si>
  <si>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</si>
  <si>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</si>
  <si>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</si>
  <si>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</si>
  <si>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</si>
  <si>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</si>
  <si>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</si>
  <si>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</si>
  <si>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</si>
  <si>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</si>
  <si>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</si>
  <si>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</si>
  <si>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</si>
  <si>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</si>
  <si>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</si>
  <si>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</si>
  <si>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</si>
  <si>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</si>
  <si>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</si>
  <si>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</si>
  <si>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</si>
  <si>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</si>
  <si>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</si>
  <si>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</si>
  <si>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</si>
  <si>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</si>
  <si>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</si>
  <si>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</si>
  <si>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</si>
  <si>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</si>
  <si>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</si>
  <si>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</si>
  <si>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</si>
  <si>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</si>
  <si>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</si>
  <si>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</si>
  <si>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</si>
  <si>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</si>
  <si>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</si>
  <si>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</si>
  <si>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</si>
  <si>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</si>
  <si>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</si>
  <si>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</si>
  <si>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</si>
  <si>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</si>
  <si>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</si>
  <si>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</si>
  <si>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</si>
  <si>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</si>
  <si>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</si>
  <si>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</si>
  <si>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</si>
  <si>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</si>
  <si>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</si>
  <si>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</si>
  <si>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</si>
  <si>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</si>
  <si>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</si>
  <si>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</si>
  <si>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</si>
  <si>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</si>
  <si>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</si>
  <si>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</si>
  <si>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</si>
  <si>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</si>
  <si>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</si>
  <si>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</si>
  <si>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</si>
  <si>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</si>
  <si>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</si>
  <si>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</si>
  <si>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</si>
  <si>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</si>
  <si>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</si>
  <si>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</si>
  <si>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</si>
  <si>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</si>
  <si>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</si>
  <si>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</si>
  <si>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</si>
  <si>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</si>
  <si>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</si>
  <si>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</si>
  <si>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</si>
  <si>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</si>
  <si>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</si>
  <si>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</si>
  <si>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</si>
  <si>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</si>
  <si>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</si>
  <si>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</si>
  <si>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</si>
  <si>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</si>
  <si>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</si>
  <si>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</si>
  <si>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</si>
  <si>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</si>
  <si>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</si>
  <si>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</si>
  <si>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</si>
  <si>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</si>
  <si>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</si>
  <si>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</si>
  <si>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</si>
  <si>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</si>
  <si>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</si>
  <si>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</si>
  <si>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</si>
  <si>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</si>
  <si>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</si>
  <si>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</si>
  <si>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</si>
  <si>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</si>
  <si>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</si>
  <si>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</si>
  <si>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</si>
  <si>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</si>
  <si>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</si>
  <si>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</si>
  <si>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</si>
  <si>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</si>
  <si>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</si>
  <si>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</si>
  <si>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</si>
  <si>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</si>
  <si>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</si>
  <si>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</si>
  <si>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</si>
  <si>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</si>
  <si>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</si>
  <si>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</si>
  <si>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</si>
  <si>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</si>
  <si>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</si>
  <si>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</si>
  <si>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</si>
  <si>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</si>
  <si>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</si>
  <si>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</si>
  <si>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</si>
  <si>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</si>
  <si>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</si>
  <si>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</si>
  <si>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</si>
  <si>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</si>
  <si>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</si>
  <si>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</si>
  <si>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</si>
  <si>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</si>
  <si>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</si>
  <si>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</si>
  <si>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</si>
  <si>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</si>
  <si>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</si>
  <si>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</si>
  <si>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</si>
  <si>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</si>
  <si>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</si>
  <si>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</si>
  <si>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</si>
  <si>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</si>
  <si>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</si>
  <si>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</si>
  <si>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</si>
  <si>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</si>
  <si>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</si>
  <si>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</si>
  <si>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</si>
  <si>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</si>
  <si>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</si>
  <si>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</si>
  <si>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</si>
  <si>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</si>
  <si>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</si>
  <si>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</si>
  <si>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</si>
  <si>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</si>
  <si>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</si>
  <si>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</si>
  <si>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</si>
  <si>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</si>
  <si>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</si>
  <si>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</si>
  <si>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</si>
  <si>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</si>
  <si>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</si>
  <si>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</si>
  <si>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</si>
  <si>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</si>
  <si>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</si>
  <si>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</si>
  <si>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</si>
  <si>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</si>
  <si>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</si>
  <si>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</si>
  <si>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</si>
  <si>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</si>
  <si>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</si>
  <si>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</si>
  <si>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</si>
  <si>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</si>
  <si>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</si>
  <si>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</si>
  <si>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</si>
  <si>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</si>
  <si>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</si>
  <si>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</si>
  <si>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</si>
  <si>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</si>
  <si>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</si>
  <si>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</si>
  <si>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</si>
  <si>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</si>
  <si>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</si>
  <si>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</si>
  <si>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</si>
  <si>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</si>
  <si>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</si>
  <si>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</si>
  <si>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</si>
  <si>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</si>
  <si>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</si>
  <si>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</si>
  <si>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</si>
  <si>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</si>
  <si>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</si>
  <si>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</si>
  <si>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</si>
  <si>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</si>
  <si>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</si>
  <si>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</si>
  <si>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</si>
  <si>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</si>
  <si>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</si>
  <si>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</si>
  <si>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</si>
  <si>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</si>
  <si>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</si>
  <si>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</si>
  <si>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</si>
  <si>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</si>
  <si>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</si>
  <si>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</si>
  <si>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</si>
  <si>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</si>
  <si>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</si>
  <si>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</si>
  <si>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</si>
  <si>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</si>
  <si>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</si>
  <si>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</si>
  <si>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</si>
  <si>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</si>
  <si>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</si>
  <si>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</si>
  <si>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</si>
  <si>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</si>
  <si>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</si>
  <si>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</si>
  <si>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</si>
  <si>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</si>
  <si>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</si>
  <si>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</si>
  <si>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</si>
  <si>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</si>
  <si>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</si>
  <si>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</si>
  <si>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</si>
  <si>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</si>
  <si>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</si>
  <si>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</si>
  <si>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</si>
  <si>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</si>
  <si>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</si>
  <si>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</si>
  <si>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</si>
  <si>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</si>
  <si>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</si>
  <si>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</si>
  <si>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</si>
  <si>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</si>
  <si>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</si>
  <si>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</si>
  <si>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</si>
  <si>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</si>
  <si>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</si>
  <si>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</si>
  <si>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</si>
  <si>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</si>
  <si>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</si>
  <si>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</si>
  <si>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</si>
  <si>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</si>
  <si>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</si>
  <si>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</si>
  <si>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</si>
  <si>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</si>
  <si>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</si>
  <si>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</si>
  <si>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</si>
  <si>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</si>
  <si>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</si>
  <si>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</si>
  <si>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</si>
  <si>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</si>
  <si>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</si>
  <si>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</si>
  <si>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</si>
  <si>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</si>
  <si>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</si>
  <si>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</si>
  <si>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</si>
  <si>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</si>
  <si>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</si>
  <si>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</si>
  <si>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</si>
  <si>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</si>
  <si>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</si>
  <si>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</si>
  <si>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</si>
  <si>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</si>
  <si>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</si>
  <si>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</si>
  <si>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</si>
  <si>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</si>
  <si>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</si>
  <si>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</si>
  <si>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</si>
  <si>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</si>
  <si>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</si>
  <si>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</si>
  <si>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</si>
  <si>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</si>
  <si>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</si>
  <si>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</si>
  <si>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</si>
  <si>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</si>
  <si>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</si>
  <si>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</si>
  <si>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</si>
  <si>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</si>
  <si>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</si>
  <si>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</si>
  <si>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</si>
  <si>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</si>
  <si>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</si>
  <si>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</si>
  <si>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</si>
  <si>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</si>
  <si>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</si>
  <si>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</si>
  <si>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</si>
  <si>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</si>
  <si>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</si>
  <si>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</si>
  <si>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</si>
  <si>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</si>
  <si>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</si>
  <si>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</si>
  <si>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</si>
  <si>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</si>
  <si>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</si>
  <si>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</si>
  <si>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</si>
  <si>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</si>
  <si>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</si>
  <si>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</si>
  <si>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</si>
  <si>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</si>
  <si>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</si>
  <si>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</si>
  <si>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</si>
  <si>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</si>
  <si>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</si>
  <si>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</si>
  <si>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</si>
  <si>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</si>
  <si>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</si>
  <si>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</si>
  <si>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</si>
  <si>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</si>
  <si>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</si>
  <si>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</si>
  <si>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</si>
  <si>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</si>
  <si>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</si>
  <si>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</si>
  <si>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</si>
  <si>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</si>
  <si>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</si>
  <si>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</si>
  <si>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</si>
  <si>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</si>
  <si>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</si>
  <si>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</si>
  <si>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</si>
  <si>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</si>
  <si>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</si>
  <si>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</si>
  <si>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</si>
  <si>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</si>
  <si>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</si>
  <si>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</si>
  <si>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</si>
  <si>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</si>
  <si>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</si>
  <si>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</si>
  <si>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</si>
  <si>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</si>
  <si>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</si>
  <si>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</si>
  <si>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</si>
  <si>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</si>
  <si>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</si>
  <si>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</si>
  <si>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</si>
  <si>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</si>
  <si>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</si>
  <si>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</si>
  <si>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</si>
  <si>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</si>
  <si>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</si>
  <si>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</si>
  <si>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</si>
  <si>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</si>
  <si>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</si>
  <si>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</si>
  <si>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</si>
  <si>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</si>
  <si>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</si>
  <si>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</si>
  <si>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</si>
  <si>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</si>
  <si>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</si>
  <si>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</si>
  <si>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</si>
  <si>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</si>
  <si>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</si>
  <si>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</si>
  <si>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</si>
  <si>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</si>
  <si>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</si>
  <si>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</si>
  <si>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</si>
  <si>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</si>
  <si>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</si>
  <si>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</si>
  <si>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</si>
  <si>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</si>
  <si>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</si>
  <si>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</si>
  <si>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</si>
  <si>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</si>
  <si>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</si>
  <si>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</si>
  <si>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</si>
  <si>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</si>
  <si>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</si>
  <si>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</si>
  <si>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</si>
  <si>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</si>
  <si>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</si>
  <si>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</si>
  <si>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</si>
  <si>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</si>
  <si>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</si>
  <si>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</si>
  <si>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</si>
  <si>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</si>
  <si>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</si>
  <si>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</si>
  <si>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</si>
  <si>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</si>
  <si>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</si>
  <si>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</si>
  <si>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</si>
  <si>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</si>
  <si>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</si>
  <si>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</si>
  <si>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</si>
  <si>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</si>
  <si>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</si>
  <si>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</si>
  <si>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</si>
  <si>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</si>
  <si>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</si>
  <si>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</si>
  <si>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</si>
  <si>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</si>
  <si>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</si>
  <si>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</si>
  <si>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</si>
  <si>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</si>
  <si>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</si>
  <si>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</si>
  <si>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</si>
  <si>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</si>
  <si>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</si>
  <si>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</si>
  <si>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</si>
  <si>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</si>
  <si>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</si>
  <si>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</si>
  <si>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</si>
  <si>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</si>
  <si>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</si>
  <si>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</si>
  <si>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</si>
  <si>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</si>
  <si>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</si>
  <si>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</si>
  <si>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</si>
  <si>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</si>
  <si>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</si>
  <si>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</si>
  <si>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</si>
  <si>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</si>
  <si>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</si>
  <si>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</si>
  <si>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</si>
  <si>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</si>
  <si>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</si>
  <si>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</si>
  <si>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</si>
  <si>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</si>
  <si>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</si>
  <si>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</si>
  <si>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</si>
  <si>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</si>
  <si>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</si>
  <si>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</si>
  <si>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</si>
  <si>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</si>
  <si>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</si>
  <si>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</si>
  <si>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</si>
  <si>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</si>
  <si>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</si>
  <si>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</si>
  <si>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</si>
  <si>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</si>
  <si>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</si>
  <si>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</si>
  <si>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</si>
  <si>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</si>
  <si>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</si>
  <si>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</si>
  <si>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</si>
  <si>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</si>
  <si>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</si>
  <si>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</si>
  <si>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</si>
  <si>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</si>
  <si>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</si>
  <si>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</si>
  <si>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</si>
  <si>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</si>
  <si>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</si>
  <si>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</si>
  <si>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</si>
  <si>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</si>
  <si>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</si>
  <si>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</si>
  <si>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</si>
  <si>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</si>
  <si>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</si>
  <si>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</si>
  <si>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</si>
  <si>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</si>
  <si>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</si>
  <si>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</si>
  <si>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</si>
  <si>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</si>
  <si>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</si>
  <si>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</si>
  <si>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</si>
  <si>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</si>
  <si>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</si>
  <si>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</si>
  <si>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</si>
  <si>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</si>
  <si>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</si>
  <si>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</si>
  <si>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</si>
  <si>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</si>
  <si>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</si>
  <si>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</si>
  <si>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</si>
  <si>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</si>
  <si>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</si>
  <si>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</si>
  <si>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</si>
  <si>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</si>
  <si>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</si>
  <si>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</si>
  <si>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</si>
  <si>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</si>
  <si>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</si>
  <si>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</si>
  <si>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</si>
  <si>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</si>
  <si>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</si>
  <si>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</si>
  <si>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</si>
  <si>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</si>
  <si>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</si>
  <si>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</si>
  <si>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</si>
  <si>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</si>
  <si>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</si>
  <si>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</si>
  <si>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</si>
  <si>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</si>
  <si>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</si>
  <si>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</si>
  <si>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</si>
  <si>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</si>
  <si>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</si>
  <si>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</si>
  <si>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</si>
  <si>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</si>
  <si>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</si>
  <si>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</si>
  <si>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</si>
  <si>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</si>
  <si>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</si>
  <si>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</si>
  <si>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</si>
  <si>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</si>
  <si>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</si>
  <si>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</si>
  <si>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</si>
  <si>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</si>
  <si>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</si>
  <si>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</si>
  <si>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</si>
  <si>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</si>
  <si>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</si>
  <si>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</si>
  <si>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</si>
  <si>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</si>
  <si>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</si>
  <si>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</si>
  <si>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</si>
  <si>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</si>
  <si>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</si>
  <si>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</si>
  <si>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</si>
  <si>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</si>
  <si>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</si>
  <si>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</si>
  <si>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</si>
  <si>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</si>
  <si>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</si>
  <si>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</si>
  <si>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</si>
  <si>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</si>
  <si>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</si>
  <si>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</si>
  <si>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</si>
  <si>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</si>
  <si>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</si>
  <si>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</si>
  <si>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</si>
  <si>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</si>
  <si>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</si>
  <si>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</si>
  <si>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</si>
  <si>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</si>
  <si>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</si>
  <si>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</si>
  <si>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</si>
  <si>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</si>
  <si>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</si>
  <si>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</si>
  <si>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</si>
  <si>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</si>
  <si>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</si>
  <si>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</si>
  <si>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</si>
  <si>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</si>
  <si>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</si>
  <si>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</si>
  <si>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</si>
  <si>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</si>
  <si>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</si>
  <si>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</si>
  <si>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</si>
  <si>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</si>
  <si>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</si>
  <si>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</si>
  <si>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</si>
  <si>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</si>
  <si>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</si>
  <si>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</si>
  <si>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</si>
  <si>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</si>
  <si>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</si>
  <si>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</si>
  <si>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</si>
  <si>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</si>
  <si>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</si>
  <si>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</si>
  <si>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</si>
  <si>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</si>
  <si>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</si>
  <si>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</si>
  <si>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</si>
  <si>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</si>
  <si>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</si>
  <si>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</si>
  <si>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</si>
  <si>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</si>
  <si>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</si>
  <si>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</si>
  <si>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</si>
  <si>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</si>
  <si>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</si>
  <si>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</si>
  <si>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</si>
  <si>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</si>
  <si>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</si>
  <si>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</si>
  <si>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</si>
  <si>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</si>
  <si>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</si>
  <si>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</si>
  <si>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</si>
  <si>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</si>
  <si>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</si>
  <si>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</si>
  <si>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</si>
  <si>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</si>
  <si>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</si>
  <si>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</si>
  <si>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</si>
  <si>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</si>
  <si>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</si>
  <si>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</si>
  <si>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</si>
  <si>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</si>
  <si>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</si>
  <si>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</si>
  <si>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</si>
  <si>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</si>
  <si>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</si>
  <si>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</si>
  <si>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</si>
  <si>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</si>
  <si>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</si>
  <si>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</si>
  <si>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</si>
  <si>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</si>
  <si>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</si>
  <si>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</si>
  <si>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</si>
  <si>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</si>
  <si>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</si>
  <si>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</si>
  <si>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</si>
  <si>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</si>
  <si>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</si>
  <si>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</si>
  <si>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</si>
  <si>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</si>
  <si>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</si>
  <si>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</si>
  <si>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</si>
  <si>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</si>
  <si>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</si>
  <si>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</si>
  <si>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</si>
  <si>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</si>
  <si>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</si>
  <si>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</si>
  <si>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</si>
  <si>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</si>
  <si>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</si>
  <si>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</si>
  <si>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</si>
  <si>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</si>
  <si>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</si>
  <si>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</si>
  <si>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</si>
  <si>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</si>
  <si>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</si>
  <si>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</si>
  <si>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</si>
  <si>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</si>
  <si>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</si>
  <si>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</si>
  <si>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</si>
  <si>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</si>
  <si>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</si>
  <si>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</si>
  <si>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</si>
  <si>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</si>
  <si>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</si>
  <si>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</si>
  <si>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</si>
  <si>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</si>
  <si>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</si>
  <si>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</si>
  <si>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</si>
  <si>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</si>
  <si>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</si>
  <si>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</si>
  <si>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</si>
  <si>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</si>
  <si>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</si>
  <si>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</si>
  <si>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</si>
  <si>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</si>
  <si>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</si>
  <si>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</si>
  <si>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</si>
  <si>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</si>
  <si>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</si>
  <si>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</si>
  <si>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</si>
  <si>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</si>
  <si>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</si>
  <si>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</si>
  <si>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</si>
  <si>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</si>
  <si>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</si>
  <si>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</si>
  <si>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</si>
  <si>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</si>
  <si>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</si>
  <si>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</si>
  <si>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</si>
  <si>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</si>
  <si>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</si>
  <si>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</si>
  <si>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</si>
  <si>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</si>
  <si>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</si>
  <si>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</si>
  <si>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</si>
  <si>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</si>
  <si>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</si>
  <si>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</si>
  <si>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</si>
  <si>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</si>
  <si>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</si>
  <si>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</si>
  <si>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</si>
  <si>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</si>
  <si>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</si>
  <si>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</si>
  <si>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</si>
  <si>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</si>
  <si>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</si>
  <si>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</si>
  <si>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</si>
  <si>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</si>
  <si>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</si>
  <si>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</si>
  <si>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</si>
  <si>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</si>
  <si>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</si>
  <si>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</si>
  <si>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</si>
  <si>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</si>
  <si>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</si>
  <si>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</si>
  <si>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</si>
  <si>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</si>
  <si>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</si>
  <si>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</si>
  <si>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</si>
  <si>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</si>
  <si>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</si>
  <si>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</si>
  <si>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</si>
  <si>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</si>
  <si>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</si>
  <si>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</si>
  <si>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</si>
  <si>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</si>
  <si>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</si>
  <si>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</si>
  <si>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</si>
  <si>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</si>
  <si>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</si>
  <si>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</si>
  <si>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</si>
  <si>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</si>
  <si>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</si>
  <si>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</si>
  <si>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</si>
  <si>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</si>
  <si>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</si>
  <si>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</si>
  <si>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</si>
  <si>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</si>
  <si>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</si>
  <si>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</si>
  <si>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</si>
  <si>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</si>
  <si>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</si>
  <si>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</si>
  <si>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</si>
  <si>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</si>
  <si>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</si>
  <si>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</si>
  <si>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</si>
  <si>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</si>
  <si>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</si>
  <si>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</si>
  <si>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</si>
  <si>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</si>
  <si>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</si>
  <si>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</si>
  <si>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</si>
  <si>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</si>
  <si>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</si>
  <si>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</si>
  <si>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</si>
  <si>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</si>
  <si>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</si>
  <si>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</si>
  <si>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</si>
  <si>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</si>
  <si>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</si>
  <si>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</si>
  <si>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</si>
  <si>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</si>
  <si>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</si>
  <si>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</si>
  <si>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</si>
  <si>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</si>
  <si>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</si>
  <si>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</si>
  <si>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</si>
  <si>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</si>
  <si>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</si>
  <si>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</si>
  <si>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</si>
  <si>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</si>
  <si>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</si>
  <si>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</si>
  <si>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</si>
  <si>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</si>
  <si>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</si>
  <si>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</si>
  <si>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</si>
  <si>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</si>
  <si>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</si>
  <si>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</si>
  <si>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</si>
  <si>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</si>
  <si>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</si>
  <si>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</si>
  <si>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</si>
  <si>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</si>
  <si>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</si>
  <si>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</si>
  <si>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</si>
  <si>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</si>
  <si>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</si>
  <si>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</si>
  <si>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</si>
  <si>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</si>
  <si>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</si>
  <si>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</si>
  <si>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</si>
  <si>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</si>
  <si>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</si>
  <si>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</si>
  <si>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</si>
  <si>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</si>
  <si>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</si>
  <si>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</si>
  <si>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</si>
  <si>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</si>
  <si>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</si>
  <si>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</si>
  <si>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</si>
  <si>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</si>
  <si>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</si>
  <si>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</si>
  <si>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</si>
  <si>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</si>
  <si>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</si>
  <si>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</si>
  <si>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</si>
  <si>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</si>
  <si>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</si>
  <si>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</si>
  <si>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</si>
  <si>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</si>
  <si>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</si>
  <si>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</si>
  <si>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</si>
  <si>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</si>
  <si>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</si>
  <si>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</si>
  <si>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</si>
  <si>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</si>
  <si>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</si>
  <si>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</si>
  <si>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</si>
  <si>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</si>
  <si>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</si>
  <si>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</si>
  <si>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</si>
  <si>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</si>
  <si>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</si>
  <si>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</si>
  <si>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</si>
  <si>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</si>
  <si>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</si>
  <si>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</si>
  <si>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</si>
  <si>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</si>
  <si>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</si>
  <si>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</si>
  <si>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</si>
  <si>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</si>
  <si>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</si>
  <si>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</si>
  <si>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</si>
  <si>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</si>
  <si>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</si>
  <si>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</si>
  <si>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</si>
  <si>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</si>
  <si>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</si>
  <si>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</si>
  <si>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</si>
  <si>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</si>
  <si>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</si>
  <si>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</si>
  <si>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</si>
  <si>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</si>
  <si>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</si>
  <si>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</si>
  <si>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</si>
  <si>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</si>
  <si>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</si>
  <si>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</si>
  <si>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</si>
  <si>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</si>
  <si>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</si>
  <si>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</si>
  <si>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</si>
  <si>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</si>
  <si>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</si>
  <si>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</si>
  <si>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</si>
  <si>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</si>
  <si>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</si>
  <si>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</si>
  <si>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</si>
  <si>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</si>
  <si>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</si>
  <si>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</si>
  <si>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</si>
  <si>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</si>
  <si>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</si>
  <si>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</si>
  <si>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</si>
  <si>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</si>
  <si>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</si>
  <si>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</si>
  <si>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</si>
  <si>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</si>
  <si>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</si>
  <si>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</si>
  <si>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</si>
  <si>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</si>
  <si>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</si>
  <si>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</si>
  <si>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</si>
  <si>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</si>
  <si>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</si>
  <si>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</si>
  <si>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</si>
  <si>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</si>
  <si>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</si>
  <si>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</si>
  <si>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</si>
  <si>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</si>
  <si>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</si>
  <si>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</si>
  <si>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</si>
  <si>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</si>
  <si>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</si>
  <si>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</si>
  <si>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</si>
  <si>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</si>
  <si>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</si>
  <si>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</si>
  <si>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</si>
  <si>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</si>
  <si>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</si>
  <si>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</si>
  <si>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</si>
  <si>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</si>
  <si>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</si>
  <si>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</si>
  <si>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</si>
  <si>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</si>
  <si>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</si>
  <si>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</si>
  <si>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</si>
  <si>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</si>
  <si>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</si>
  <si>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</si>
  <si>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</si>
  <si>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</si>
  <si>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</si>
  <si>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</si>
  <si>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</si>
  <si>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</si>
  <si>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</si>
  <si>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</si>
  <si>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</si>
  <si>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</si>
  <si>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</si>
  <si>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</si>
  <si>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</si>
  <si>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</si>
  <si>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</si>
  <si>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</si>
  <si>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</si>
  <si>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</si>
  <si>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</si>
  <si>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</si>
  <si>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</si>
  <si>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</si>
  <si>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</si>
  <si>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</si>
  <si>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</si>
  <si>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</si>
  <si>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</si>
  <si>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</si>
  <si>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</si>
  <si>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</si>
  <si>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</si>
  <si>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</si>
  <si>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</si>
  <si>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</si>
  <si>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</si>
  <si>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</si>
  <si>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</si>
  <si>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</si>
  <si>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</si>
  <si>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</si>
  <si>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</si>
  <si>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</si>
  <si>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</si>
  <si>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</si>
  <si>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</si>
  <si>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</si>
  <si>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</si>
  <si>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</si>
  <si>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</si>
  <si>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</si>
  <si>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</si>
  <si>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</si>
  <si>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</si>
  <si>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</si>
  <si>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</si>
  <si>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</si>
  <si>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</si>
  <si>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</si>
  <si>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</si>
  <si>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</si>
  <si>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</si>
  <si>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</si>
  <si>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</si>
  <si>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</si>
  <si>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</si>
  <si>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</si>
  <si>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</si>
  <si>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</si>
  <si>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</si>
  <si>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</si>
  <si>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</si>
  <si>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</si>
  <si>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</si>
  <si>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</si>
  <si>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</si>
  <si>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</si>
  <si>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</si>
  <si>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</si>
  <si>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</si>
  <si>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</si>
  <si>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</si>
  <si>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</si>
  <si>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</si>
  <si>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</si>
  <si>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</si>
  <si>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</si>
  <si>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</si>
  <si>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</si>
  <si>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</si>
  <si>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</si>
  <si>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</si>
  <si>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</si>
  <si>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</si>
  <si>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</si>
  <si>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</si>
  <si>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</si>
  <si>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</si>
  <si>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</si>
  <si>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</si>
  <si>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</si>
  <si>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</si>
  <si>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</si>
  <si>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</si>
  <si>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</si>
  <si>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</si>
  <si>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</si>
  <si>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</si>
  <si>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</si>
  <si>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</si>
  <si>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</si>
  <si>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</si>
  <si>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</si>
  <si>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</si>
  <si>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</si>
  <si>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</si>
  <si>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</si>
  <si>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</si>
  <si>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</si>
  <si>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</si>
  <si>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</si>
  <si>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</si>
  <si>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</si>
  <si>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</si>
  <si>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</si>
  <si>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</si>
  <si>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</si>
  <si>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</si>
  <si>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</si>
  <si>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</si>
  <si>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</si>
  <si>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</si>
  <si>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</si>
  <si>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</si>
  <si>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</si>
  <si>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</si>
  <si>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</si>
  <si>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</si>
  <si>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</si>
  <si>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</si>
  <si>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</si>
  <si>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</si>
  <si>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</si>
  <si>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</si>
  <si>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</si>
  <si>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</si>
  <si>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</si>
  <si>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</si>
  <si>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</si>
  <si>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</si>
  <si>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</si>
  <si>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</si>
  <si>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</si>
  <si>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</si>
  <si>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</si>
  <si>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</si>
  <si>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</si>
  <si>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</si>
  <si>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</si>
  <si>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</si>
  <si>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</si>
  <si>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</si>
  <si>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</si>
  <si>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</si>
  <si>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</si>
  <si>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</si>
  <si>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</si>
  <si>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</si>
  <si>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</si>
  <si>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</si>
  <si>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</si>
  <si>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</si>
  <si>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</si>
  <si>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</si>
  <si>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</si>
  <si>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</si>
  <si>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</si>
  <si>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</si>
  <si>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</si>
  <si>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</si>
  <si>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</si>
  <si>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</si>
  <si>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</si>
  <si>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</si>
  <si>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</si>
  <si>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</si>
  <si>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</si>
  <si>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</si>
  <si>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</si>
  <si>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</si>
  <si>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</si>
  <si>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</si>
  <si>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</si>
  <si>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</si>
  <si>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</si>
  <si>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</si>
  <si>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</si>
  <si>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</si>
  <si>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</si>
  <si>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</si>
  <si>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</si>
  <si>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</si>
  <si>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</si>
  <si>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</si>
  <si>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</si>
  <si>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</si>
  <si>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</si>
  <si>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</si>
  <si>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</si>
  <si>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</si>
  <si>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</si>
  <si>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</si>
  <si>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</si>
  <si>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</si>
  <si>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</si>
  <si>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</si>
  <si>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</si>
  <si>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</si>
  <si>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</si>
  <si>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</si>
  <si>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</si>
  <si>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</si>
  <si>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</si>
  <si>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</si>
  <si>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</si>
  <si>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</si>
  <si>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</si>
  <si>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</si>
  <si>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</si>
  <si>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</si>
  <si>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</si>
  <si>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</si>
  <si>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</si>
  <si>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</si>
  <si>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</si>
  <si>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</si>
  <si>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</si>
  <si>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</si>
  <si>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</si>
  <si>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</si>
  <si>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</si>
  <si>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</si>
  <si>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</si>
  <si>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</si>
  <si>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</si>
  <si>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</si>
  <si>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</si>
  <si>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</si>
  <si>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</si>
  <si>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</si>
  <si>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</si>
  <si>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</si>
  <si>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</si>
  <si>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</si>
  <si>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</si>
  <si>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</si>
  <si>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</si>
  <si>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</si>
  <si>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</si>
  <si>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</si>
  <si>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</si>
  <si>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</si>
  <si>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</si>
  <si>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</si>
  <si>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</si>
  <si>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</si>
  <si>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</si>
  <si>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</si>
  <si>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</si>
  <si>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</si>
  <si>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</si>
  <si>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</si>
  <si>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</si>
  <si>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</si>
  <si>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</si>
  <si>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</si>
  <si>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</si>
  <si>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</si>
  <si>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</si>
  <si>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</si>
  <si>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</si>
  <si>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</si>
  <si>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</si>
  <si>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</si>
  <si>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</si>
  <si>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</si>
  <si>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</si>
  <si>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</si>
  <si>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</si>
  <si>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</si>
  <si>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</si>
  <si>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</si>
  <si>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</si>
  <si>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</si>
  <si>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</si>
  <si>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</si>
  <si>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</si>
  <si>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</si>
  <si>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</si>
  <si>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</si>
  <si>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</si>
  <si>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</si>
  <si>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</si>
  <si>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</si>
  <si>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</si>
  <si>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</si>
  <si>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</si>
  <si>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</si>
  <si>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</si>
  <si>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</si>
  <si>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</si>
  <si>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</si>
  <si>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</si>
  <si>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</si>
  <si>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</si>
  <si>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</si>
  <si>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</si>
  <si>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</si>
  <si>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</si>
  <si>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</si>
  <si>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</si>
  <si>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</si>
  <si>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</si>
  <si>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</si>
  <si>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</si>
  <si>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</si>
  <si>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</si>
  <si>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</si>
  <si>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</si>
  <si>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</si>
  <si>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</si>
  <si>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</si>
  <si>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</si>
  <si>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</si>
  <si>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</si>
  <si>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</si>
  <si>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</si>
  <si>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</si>
  <si>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</si>
  <si>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</si>
  <si>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</si>
  <si>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</si>
  <si>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</si>
  <si>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</si>
  <si>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</si>
  <si>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</si>
  <si>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</si>
  <si>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</si>
  <si>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</si>
  <si>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</si>
  <si>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</si>
  <si>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</si>
  <si>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</si>
  <si>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</si>
  <si>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</si>
  <si>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</si>
  <si>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</si>
  <si>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</si>
  <si>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</si>
  <si>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</si>
  <si>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</si>
  <si>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</si>
  <si>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</si>
  <si>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</si>
  <si>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</si>
  <si>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</si>
  <si>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</si>
  <si>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</si>
  <si>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</si>
  <si>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</si>
  <si>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</si>
  <si>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</si>
  <si>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</si>
  <si>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</si>
  <si>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</si>
  <si>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</si>
  <si>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</si>
  <si>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</si>
  <si>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</si>
  <si>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</si>
  <si>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</si>
  <si>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</si>
  <si>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</si>
  <si>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</si>
  <si>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</si>
  <si>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</si>
  <si>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</si>
  <si>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</si>
  <si>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</si>
  <si>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</si>
  <si>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</si>
  <si>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</si>
  <si>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</si>
  <si>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</si>
  <si>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</si>
  <si>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</si>
  <si>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</si>
  <si>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</si>
  <si>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</si>
  <si>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</si>
  <si>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</si>
  <si>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</si>
  <si>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</si>
  <si>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</si>
  <si>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</si>
  <si>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</si>
  <si>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</si>
  <si>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</si>
  <si>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</si>
  <si>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</si>
  <si>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</si>
  <si>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</si>
  <si>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</si>
  <si>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</si>
  <si>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</si>
  <si>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</si>
  <si>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</si>
  <si>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</si>
  <si>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</si>
  <si>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</si>
  <si>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</si>
  <si>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</si>
  <si>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</si>
  <si>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</si>
  <si>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</si>
  <si>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</si>
  <si>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</si>
  <si>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</si>
  <si>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</si>
  <si>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</si>
  <si>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</si>
  <si>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</si>
  <si>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</si>
  <si>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</si>
  <si>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</si>
  <si>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</si>
  <si>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</si>
  <si>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</si>
  <si>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</si>
  <si>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</si>
  <si>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</si>
  <si>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</si>
  <si>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</si>
  <si>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</si>
  <si>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</si>
  <si>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</si>
  <si>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</si>
  <si>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</si>
  <si>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</si>
  <si>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</si>
  <si>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</si>
  <si>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</si>
  <si>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</si>
  <si>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</si>
  <si>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</si>
  <si>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</si>
  <si>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</si>
  <si>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</si>
  <si>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</si>
  <si>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</si>
  <si>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</si>
  <si>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</si>
  <si>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</si>
  <si>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</si>
  <si>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</si>
  <si>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</si>
  <si>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</si>
  <si>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</si>
  <si>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</si>
  <si>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</si>
  <si>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</si>
  <si>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</si>
  <si>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</si>
  <si>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</si>
  <si>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</si>
  <si>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</si>
  <si>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</si>
  <si>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</si>
  <si>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</si>
  <si>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</si>
  <si>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</si>
  <si>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</si>
  <si>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</si>
  <si>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</si>
  <si>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</si>
  <si>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</si>
  <si>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</si>
  <si>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</si>
  <si>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</si>
  <si>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</si>
  <si>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</si>
  <si>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</si>
  <si>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</si>
  <si>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</si>
  <si>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</si>
  <si>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</si>
  <si>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</si>
  <si>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</si>
  <si>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</si>
  <si>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</si>
  <si>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</si>
  <si>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</si>
  <si>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</si>
  <si>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</si>
  <si>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</si>
  <si>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</si>
  <si>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</si>
  <si>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</si>
  <si>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</si>
  <si>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</si>
  <si>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</si>
  <si>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</si>
  <si>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</si>
  <si>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</si>
  <si>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</si>
  <si>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</si>
  <si>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</si>
  <si>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</si>
  <si>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</si>
  <si>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</si>
  <si>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</si>
  <si>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</si>
  <si>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</si>
  <si>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</si>
  <si>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</si>
  <si>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</si>
  <si>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</si>
  <si>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</si>
  <si>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</si>
  <si>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</si>
  <si>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</si>
  <si>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</si>
  <si>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</si>
  <si>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</si>
  <si>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</si>
  <si>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</si>
  <si>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</si>
  <si>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</si>
  <si>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</si>
  <si>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</si>
  <si>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</si>
  <si>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</si>
  <si>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</si>
  <si>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</si>
  <si>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</si>
  <si>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</si>
  <si>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</si>
  <si>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</si>
  <si>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</si>
  <si>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</si>
  <si>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</si>
  <si>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</si>
  <si>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</si>
  <si>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</si>
  <si>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</si>
  <si>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</si>
  <si>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</si>
  <si>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</si>
  <si>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</si>
  <si>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</si>
  <si>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</si>
  <si>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</si>
  <si>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</si>
  <si>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</si>
  <si>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</si>
  <si>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</si>
  <si>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</si>
  <si>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</si>
  <si>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</si>
  <si>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</si>
  <si>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</si>
  <si>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</si>
  <si>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</si>
  <si>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</si>
  <si>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</si>
  <si>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</si>
  <si>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</si>
  <si>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</si>
  <si>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</si>
  <si>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</si>
  <si>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</si>
  <si>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</si>
  <si>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</si>
  <si>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</si>
  <si>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</si>
  <si>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</si>
  <si>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</si>
  <si>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</si>
  <si>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</si>
  <si>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</si>
  <si>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</si>
  <si>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</si>
  <si>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</si>
  <si>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</si>
  <si>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</si>
  <si>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</si>
  <si>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</si>
  <si>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</si>
  <si>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</si>
  <si>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</si>
  <si>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</si>
  <si>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</si>
  <si>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</si>
  <si>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</si>
  <si>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</si>
  <si>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</si>
  <si>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</si>
  <si>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</si>
  <si>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</si>
  <si>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</si>
  <si>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</si>
  <si>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</si>
  <si>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</si>
  <si>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</si>
  <si>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</si>
  <si>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</si>
  <si>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</si>
  <si>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</si>
  <si>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</si>
  <si>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</si>
  <si>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</si>
  <si>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</si>
  <si>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</si>
  <si>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</si>
  <si>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</si>
  <si>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</si>
  <si>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</si>
  <si>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</si>
  <si>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</si>
  <si>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</si>
  <si>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</si>
  <si>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</si>
  <si>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</si>
  <si>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</si>
  <si>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</si>
  <si>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</si>
  <si>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</si>
  <si>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</si>
  <si>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</si>
  <si>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</si>
  <si>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</si>
  <si>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</si>
  <si>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</si>
  <si>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</si>
  <si>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</si>
  <si>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</si>
  <si>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</si>
  <si>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</si>
  <si>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</si>
  <si>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</si>
  <si>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</si>
  <si>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</si>
  <si>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</si>
  <si>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</si>
  <si>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</si>
  <si>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</si>
  <si>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</si>
  <si>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</si>
  <si>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</si>
  <si>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</si>
  <si>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</si>
  <si>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</si>
  <si>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</si>
  <si>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</si>
  <si>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</si>
  <si>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</si>
  <si>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</si>
  <si>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</si>
  <si>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</si>
  <si>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</si>
  <si>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</si>
  <si>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</si>
  <si>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</si>
  <si>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</si>
  <si>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</si>
  <si>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</si>
  <si>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</si>
  <si>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</si>
  <si>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</si>
  <si>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</si>
  <si>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</si>
  <si>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</si>
  <si>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</si>
  <si>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</si>
  <si>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</si>
  <si>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</si>
  <si>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</si>
  <si>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</si>
  <si>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</si>
  <si>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</si>
  <si>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</si>
  <si>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</si>
  <si>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</si>
  <si>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</si>
  <si>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</si>
  <si>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</si>
  <si>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</si>
  <si>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</si>
  <si>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</si>
  <si>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</si>
  <si>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</si>
  <si>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</si>
  <si>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</si>
  <si>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</si>
  <si>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</si>
  <si>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</si>
  <si>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</si>
  <si>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</si>
  <si>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</si>
  <si>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</si>
  <si>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</si>
  <si>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</si>
  <si>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</si>
  <si>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</si>
  <si>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</si>
  <si>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</si>
  <si>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</si>
  <si>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</si>
  <si>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</si>
  <si>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</si>
  <si>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</si>
  <si>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</si>
  <si>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</si>
  <si>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</si>
  <si>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</si>
  <si>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</si>
  <si>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</si>
  <si>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</si>
  <si>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</si>
  <si>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</si>
  <si>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</si>
  <si>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</si>
  <si>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</si>
  <si>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</si>
  <si>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</si>
  <si>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</si>
  <si>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</si>
  <si>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</si>
  <si>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</si>
  <si>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</si>
  <si>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</si>
  <si>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</si>
  <si>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</si>
  <si>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</si>
  <si>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</si>
  <si>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</si>
  <si>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</si>
  <si>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</si>
  <si>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</si>
  <si>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</si>
  <si>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</si>
  <si>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</si>
  <si>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</si>
  <si>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</si>
  <si>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</si>
  <si>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</si>
  <si>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</si>
  <si>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</si>
  <si>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</si>
  <si>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</si>
  <si>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</si>
  <si>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</si>
  <si>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</si>
  <si>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</si>
  <si>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</si>
  <si>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</si>
  <si>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</si>
  <si>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</si>
  <si>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</si>
  <si>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</si>
  <si>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</si>
  <si>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</si>
  <si>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</si>
  <si>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</si>
  <si>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</si>
  <si>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</si>
  <si>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</si>
  <si>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</si>
  <si>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</si>
  <si>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</si>
  <si>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</si>
  <si>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</si>
  <si>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</si>
  <si>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</si>
  <si>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</si>
  <si>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</si>
  <si>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</si>
  <si>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</si>
  <si>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</si>
  <si>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</si>
  <si>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</si>
  <si>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</si>
  <si>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</si>
  <si>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</si>
  <si>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</si>
  <si>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</si>
  <si>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</si>
  <si>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</si>
  <si>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</si>
  <si>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</si>
  <si>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</si>
  <si>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</si>
  <si>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</si>
  <si>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</si>
  <si>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</si>
  <si>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</si>
  <si>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</si>
  <si>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</si>
  <si>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</si>
  <si>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</si>
  <si>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</si>
  <si>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</si>
  <si>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</si>
  <si>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</si>
  <si>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</si>
  <si>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</si>
  <si>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</si>
  <si>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</si>
  <si>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</si>
  <si>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</si>
  <si>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</si>
  <si>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</si>
  <si>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</si>
  <si>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</si>
  <si>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</si>
  <si>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</si>
  <si>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</si>
  <si>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</si>
  <si>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</si>
  <si>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</si>
  <si>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</si>
  <si>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</si>
  <si>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</si>
  <si>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</si>
  <si>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</si>
  <si>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</si>
  <si>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</si>
  <si>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</si>
  <si>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</si>
  <si>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</si>
  <si>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</si>
  <si>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</si>
  <si>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</si>
  <si>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</si>
  <si>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</si>
  <si>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</si>
  <si>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</si>
  <si>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</si>
  <si>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</si>
  <si>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</si>
  <si>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</si>
  <si>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</si>
  <si>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</si>
  <si>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</si>
  <si>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</si>
  <si>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</si>
  <si>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</si>
  <si>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</si>
  <si>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</si>
  <si>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</si>
  <si>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</si>
  <si>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</si>
  <si>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</si>
  <si>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</si>
  <si>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</si>
  <si>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</si>
  <si>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</si>
  <si>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</si>
  <si>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</si>
  <si>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</si>
  <si>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</si>
  <si>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</si>
  <si>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</si>
  <si>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</si>
  <si>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</si>
  <si>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</si>
  <si>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</si>
  <si>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</si>
  <si>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</si>
  <si>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</si>
  <si>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</si>
  <si>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</si>
  <si>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</si>
  <si>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</si>
  <si>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</si>
  <si>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</si>
  <si>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t>OK (12 campos)</t>
  </si>
  <si>
    <t>package 4</t>
  </si>
  <si>
    <r>
      <rPr>
        <b/>
        <sz val="11"/>
        <color theme="1"/>
        <rFont val="Santander Text"/>
        <family val="2"/>
      </rPr>
      <t>1. Tabela de Output Marcação Verde:</t>
    </r>
    <r>
      <rPr>
        <sz val="11"/>
        <color theme="1"/>
        <rFont val="Santander Text"/>
        <family val="2"/>
      </rPr>
      <t xml:space="preserve">
- Foi concluída e partilhada a especificação do campo sstnbl_indctr.
</t>
    </r>
    <r>
      <rPr>
        <b/>
        <sz val="11"/>
        <color theme="1"/>
        <rFont val="Santander Text"/>
        <family val="2"/>
      </rPr>
      <t>2. Tabela de Clientes:</t>
    </r>
    <r>
      <rPr>
        <sz val="11"/>
        <color theme="1"/>
        <rFont val="Santander Text"/>
        <family val="2"/>
      </rPr>
      <t xml:space="preserve">
- Foram concluídos os testes de 8 campos da tabela (emissões).
</t>
    </r>
    <r>
      <rPr>
        <b/>
        <sz val="11"/>
        <color theme="1"/>
        <rFont val="Santander Text"/>
        <family val="2"/>
      </rPr>
      <t>3. Tabela Imóveis:</t>
    </r>
    <r>
      <rPr>
        <sz val="11"/>
        <color theme="1"/>
        <rFont val="Santander Text"/>
        <family val="2"/>
      </rPr>
      <t xml:space="preserve">
- Foram concluídos os testes de 4 campos da tabela (risco físico).
</t>
    </r>
    <r>
      <rPr>
        <b/>
        <sz val="11"/>
        <color theme="1"/>
        <rFont val="Santander Text"/>
        <family val="2"/>
      </rPr>
      <t>4. Tabela Input Corporativo Risco Físico por Zip Code:</t>
    </r>
    <r>
      <rPr>
        <sz val="11"/>
        <color theme="1"/>
        <rFont val="Santander Text"/>
        <family val="2"/>
      </rPr>
      <t xml:space="preserve">
- Foram concluídos os testes da tabela de input.</t>
    </r>
    <r>
      <rPr>
        <b/>
        <sz val="11"/>
        <color theme="1"/>
        <rFont val="Santander Text"/>
        <family val="2"/>
      </rPr>
      <t xml:space="preserve">
Adicionalmente, foram disponibilizados pela equipa de IT para testes:</t>
    </r>
    <r>
      <rPr>
        <sz val="11"/>
        <color theme="1"/>
        <rFont val="Santander Text"/>
        <family val="2"/>
      </rPr>
      <t xml:space="preserve">
- 4 campos relativos ao risco físico agudo/crónico dos clientes + campo cod_nace_esg
</t>
    </r>
  </si>
  <si>
    <r>
      <rPr>
        <b/>
        <sz val="11"/>
        <rFont val="Santander Text"/>
        <family val="2"/>
      </rPr>
      <t>1. Gloval:</t>
    </r>
    <r>
      <rPr>
        <sz val="11"/>
        <rFont val="Santander Text"/>
        <family val="2"/>
      </rPr>
      <t xml:space="preserve">
- Foram realizados e concluídos os testes aos 44 campos da tabela de input da Gloval. 
</t>
    </r>
    <r>
      <rPr>
        <b/>
        <sz val="11"/>
        <rFont val="Santander Text"/>
        <family val="2"/>
      </rPr>
      <t>2. Tabela de certificados:</t>
    </r>
    <r>
      <rPr>
        <sz val="11"/>
        <rFont val="Santander Text"/>
        <family val="2"/>
      </rPr>
      <t xml:space="preserve">
- Foram iniciados os testes aos 2 campos planeados. Contudo, não foi possível concluir os testes aos mesmos devido a bloqueio do front end.
- Foi testado o novo campo à tabela relativo ao denominador do rácio do NtC. 
- Existem 2 campos em Validação de EF devido ao tema dos certificados. Aguardamos resposta da Corporação.
 </t>
    </r>
  </si>
  <si>
    <r>
      <t xml:space="preserve">1. Foram concluídas e partilhadas as especificações de 8 dos 13 campos previstos para esta semana.
</t>
    </r>
    <r>
      <rPr>
        <sz val="11"/>
        <color theme="1"/>
        <rFont val="Santander Text"/>
        <family val="2"/>
      </rPr>
      <t xml:space="preserve">- 6 campos da tabela de contratos
- 1 campo da tabela de Garantias
- 1 campo da tabela de relação Contrato-Atividade
</t>
    </r>
    <r>
      <rPr>
        <b/>
        <sz val="11"/>
        <color theme="4"/>
        <rFont val="Santander Text"/>
        <family val="2"/>
      </rPr>
      <t xml:space="preserve">
</t>
    </r>
    <r>
      <rPr>
        <b/>
        <sz val="11"/>
        <color theme="1"/>
        <rFont val="Santander Text"/>
        <family val="2"/>
      </rPr>
      <t>2. Adicionalmente, existem ainda os seguintes campos pendentes:</t>
    </r>
    <r>
      <rPr>
        <sz val="11"/>
        <color theme="1"/>
        <rFont val="Santander Text"/>
        <family val="2"/>
      </rPr>
      <t xml:space="preserv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 2 campos do Package 4 pendentes de resposta da Corporação, relativos ao tema dos certificados 
- FY24:</t>
    </r>
    <r>
      <rPr>
        <sz val="11"/>
        <color theme="1"/>
        <rFont val="Santander Text"/>
        <family val="2"/>
      </rPr>
      <t xml:space="preserve"> 2 campos de FY24 pendentes de resposta da Corporação, relativos ao tema dos certificados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</si>
  <si>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dos 44 campos da tabela de</t>
    </r>
    <r>
      <rPr>
        <i/>
        <sz val="11"/>
        <color theme="1"/>
        <rFont val="Santander Text"/>
        <family val="2"/>
      </rPr>
      <t xml:space="preserve"> input</t>
    </r>
    <r>
      <rPr>
        <sz val="11"/>
        <color theme="1"/>
        <rFont val="Santander Text"/>
        <family val="2"/>
      </rPr>
      <t xml:space="preserve"> da Gloval. 
- Contudo, ao fazer o carregamento dos ficheiros da Gloval, existiu um bloqueio no front end, o que não permitiu completar os testes dos 2 campos da tabela de output de certificados. 
- Adicionalmente, foi testado o novo campo da tabela de certificados relativo ao denominador do rácio do NtC. Denote-se que este campo corresponde ao denominador do Ntc que, segundo o João Almeida, ainda não está a ser lido nas tabelas de Gestão de Empreendimentos. Na reunião de dia 12/02/2025 foi informado que ia ser pedido este desenvolvimento. Para efeitos de testes até 28/02 irá ser garantido que o campo está na tabela e com os valores a NULL dado não existir um plano de implementação.
- Por fim, existem 2 campos pendentes de validação da Corporação.
</t>
    </r>
    <r>
      <rPr>
        <b/>
        <sz val="11"/>
        <color theme="1"/>
        <rFont val="Santander Text"/>
        <family val="2"/>
      </rPr>
      <t>2. Modelo Verde:</t>
    </r>
    <r>
      <rPr>
        <sz val="11"/>
        <color theme="1"/>
        <rFont val="Santander Text"/>
        <family val="2"/>
      </rPr>
      <t xml:space="preserve"> 
- Conforme planeado, foi concluída e partilhada a especificação do campo da tabela de Output de Marcação Verde.
- Foram também concluídos os testes aos 17 campos do Modelo Verde  [Input Risco Físico Zip Code, Emissões Clientes e Risco Físico Bens Imóveis].
</t>
    </r>
    <r>
      <rPr>
        <b/>
        <sz val="11"/>
        <color theme="1"/>
        <rFont val="Santander Text"/>
        <family val="2"/>
      </rPr>
      <t>3. Loan Tape:</t>
    </r>
    <r>
      <rPr>
        <sz val="11"/>
        <color theme="1"/>
        <rFont val="Santander Text"/>
        <family val="2"/>
      </rPr>
      <t xml:space="preserve"> 
- Dos 13 campos desta semana, foram concluídas as especificações de 8 campos. Os restantes 5 estão pendentes da corporação, pelo que planeamos fechar estes campos assim que obtivermos resposta da corporação.</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Finalizar os testes dos 2 campos que não ficaram concluídos esta semana.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Na próxima semana está previsto testar 5 campos da tabela de Clientes relativos às emissões e cod_nace_esg.
</t>
    </r>
    <r>
      <rPr>
        <b/>
        <sz val="11"/>
        <color theme="1"/>
        <rFont val="Santander Text"/>
        <family val="2"/>
      </rPr>
      <t>3. Loan Tape</t>
    </r>
    <r>
      <rPr>
        <sz val="11"/>
        <color theme="1"/>
        <rFont val="Santander Text"/>
        <family val="2"/>
      </rPr>
      <t xml:space="preserve">
Concluir as especificações dos campos pendentes, concluindo assim as especificações da Loan Tape:
</t>
    </r>
    <r>
      <rPr>
        <b/>
        <sz val="11"/>
        <color theme="1"/>
        <rFont val="Santander Text"/>
        <family val="2"/>
      </rPr>
      <t xml:space="preserve">- FY25: </t>
    </r>
    <r>
      <rPr>
        <sz val="11"/>
        <color theme="1"/>
        <rFont val="Santander Text"/>
        <family val="2"/>
      </rPr>
      <t xml:space="preserve"> 1 campo do package 5 pendente de resposta da Corporação (CNCLLD_INSTRMNT_STTS)
</t>
    </r>
    <r>
      <rPr>
        <b/>
        <sz val="11"/>
        <color theme="1"/>
        <rFont val="Santander Text"/>
        <family val="2"/>
      </rPr>
      <t>- FY25:</t>
    </r>
    <r>
      <rPr>
        <sz val="11"/>
        <color theme="1"/>
        <rFont val="Santander Text"/>
        <family val="2"/>
      </rPr>
      <t xml:space="preserve"> 2 campos do Package 4 pendentes de resposta da Corporação, relativos ao tema dos certificados 
</t>
    </r>
    <r>
      <rPr>
        <b/>
        <sz val="11"/>
        <color theme="1"/>
        <rFont val="Santander Text"/>
        <family val="2"/>
      </rPr>
      <t>- FY24:</t>
    </r>
    <r>
      <rPr>
        <sz val="11"/>
        <color theme="1"/>
        <rFont val="Santander Text"/>
        <family val="2"/>
      </rPr>
      <t xml:space="preserve"> 2 campos de FY24 pendentes de resposta da Corporação, relativos ao tema dos certificados </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</si>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</sst>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8" fillId="33" borderId="64" xfId="0" applyFont="1" applyFill="1" applyBorder="1" applyAlignment="1">
      <alignment horizontal="center"/>
    </xf>
    <xf numFmtId="0" fontId="79" fillId="29" borderId="54" xfId="0" applyFont="1" applyFill="1" applyBorder="1" applyAlignment="1">
      <alignment horizontal="center"/>
    </xf>
    <xf numFmtId="0" fontId="71" fillId="36" borderId="63" xfId="0" applyFont="1" applyFill="1" applyBorder="1" applyAlignment="1">
      <alignment horizontal="center"/>
    </xf>
    <xf numFmtId="0" fontId="79"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80" fillId="5" borderId="0" xfId="0" applyFont="1" applyFill="1"/>
    <xf numFmtId="0" fontId="81" fillId="0" borderId="0" xfId="0" applyFont="1"/>
    <xf numFmtId="0" fontId="82" fillId="0" borderId="0" xfId="0" applyFont="1"/>
    <xf numFmtId="0" fontId="83" fillId="0" borderId="0" xfId="0" applyFont="1"/>
    <xf numFmtId="0" fontId="77"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73" fillId="0" borderId="48" xfId="0" applyFont="1" applyFill="1" applyBorder="1" applyAlignment="1">
      <alignment horizontal="center"/>
    </xf>
    <xf numFmtId="0" fontId="2" fillId="0" borderId="44" xfId="0" applyFont="1" applyFill="1" applyBorder="1" applyAlignment="1">
      <alignment horizontal="center"/>
    </xf>
    <xf numFmtId="0" fontId="2" fillId="0" borderId="54" xfId="0" applyFont="1" applyFill="1" applyBorder="1" applyAlignment="1">
      <alignment horizontal="center"/>
    </xf>
    <xf numFmtId="0" fontId="22" fillId="0" borderId="48" xfId="0" applyFont="1" applyFill="1" applyBorder="1" applyAlignment="1">
      <alignment horizontal="center"/>
    </xf>
    <xf numFmtId="0" fontId="2" fillId="0" borderId="59" xfId="0"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6">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manualLayout>
                  <c:w val="0.5899142048880025"/>
                  <c:h val="0.1172467115436498"/>
                </c:manualLayout>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noFill/>
              </a:ln>
              <a:effectLst/>
            </c:spPr>
            <c:extLst>
              <c:ext xmlns:c16="http://schemas.microsoft.com/office/drawing/2014/chart" uri="{C3380CC4-5D6E-409C-BE32-E72D297353CC}">
                <c16:uniqueId val="{0000000B-00BD-4525-A675-ABA151AFCBE8}"/>
              </c:ext>
            </c:extLst>
          </c:dPt>
          <c:dLbls>
            <c:dLbl>
              <c:idx val="1"/>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manualLayout>
                      <c:w val="0.5899142048880025"/>
                      <c:h val="0.1172467115436498"/>
                    </c:manualLayout>
                  </c15:layout>
                </c:ext>
                <c:ext xmlns:c16="http://schemas.microsoft.com/office/drawing/2014/chart" uri="{C3380CC4-5D6E-409C-BE32-E72D297353CC}">
                  <c16:uniqueId val="{0000000F-D888-4927-8E23-39DAD6DD6CF0}"/>
                </c:ext>
              </c:extLst>
            </c:dLbl>
            <c:dLbl>
              <c:idx val="3"/>
              <c:layout>
                <c:manualLayout>
                  <c:x val="8.8345777489217646E-3"/>
                  <c:y val="-2.841331569838982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4. Validação EF</c:v>
                </c:pt>
              </c:strCache>
            </c:strRef>
          </c:cat>
          <c:val>
            <c:numRef>
              <c:f>'Aux - Pivots2'!$C$67:$C$71</c:f>
              <c:numCache>
                <c:formatCode>General</c:formatCode>
                <c:ptCount val="4"/>
                <c:pt idx="0">
                  <c:v>12</c:v>
                </c:pt>
                <c:pt idx="1">
                  <c:v>192</c:v>
                </c:pt>
                <c:pt idx="2">
                  <c:v>2</c:v>
                </c:pt>
                <c:pt idx="3">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49</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14</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222</c:v>
                </c:pt>
                <c:pt idx="2">
                  <c:v>5</c:v>
                </c:pt>
                <c:pt idx="3">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7.8.xlsx]Aux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19</c:v>
                </c:pt>
                <c:pt idx="3">
                  <c:v>5</c:v>
                </c:pt>
                <c:pt idx="4">
                  <c:v>4</c:v>
                </c:pt>
                <c:pt idx="5">
                  <c:v>3</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4. Validação EF</c:v>
                </c:pt>
              </c:strCache>
            </c:strRef>
          </c:tx>
          <c:spPr>
            <a:solidFill>
              <a:srgbClr val="1AB2BB"/>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2">
                  <c:v>4</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22</c:v>
                </c:pt>
                <c:pt idx="1">
                  <c:v>28</c:v>
                </c:pt>
                <c:pt idx="2">
                  <c:v>20</c:v>
                </c:pt>
                <c:pt idx="4">
                  <c:v>2</c:v>
                </c:pt>
                <c:pt idx="5">
                  <c:v>8</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7.8.xlsx]Aux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dLbl>
          <c:idx val="0"/>
          <c:layout>
            <c:manualLayout>
              <c:x val="1.7388608845571564E-2"/>
              <c:y val="-5.21172745373874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Lbls>
            <c:dLbl>
              <c:idx val="1"/>
              <c:layout>
                <c:manualLayout>
                  <c:x val="1.7388608845571564E-2"/>
                  <c:y val="-5.211727453738740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0544-4AE3-A745-E99D5235D4A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4. Validação EF</c:v>
                </c:pt>
                <c:pt idx="2">
                  <c:v>6. Em implementação </c:v>
                </c:pt>
              </c:strCache>
            </c:strRef>
          </c:cat>
          <c:val>
            <c:numRef>
              <c:f>'Aux - Pivots2'!$C$173:$C$176</c:f>
              <c:numCache>
                <c:formatCode>General</c:formatCode>
                <c:ptCount val="3"/>
                <c:pt idx="0">
                  <c:v>1</c:v>
                </c:pt>
                <c:pt idx="1">
                  <c:v>3</c:v>
                </c:pt>
                <c:pt idx="2">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7.8.xlsx]Aux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5"/>
              </a:solidFill>
              <a:ln w="19050">
                <a:noFill/>
              </a:ln>
              <a:effectLst/>
            </c:spPr>
            <c:extLst>
              <c:ext xmlns:c16="http://schemas.microsoft.com/office/drawing/2014/chart" uri="{C3380CC4-5D6E-409C-BE32-E72D297353CC}">
                <c16:uniqueId val="{00000005-70D5-4610-98D7-ECBC295C6D2D}"/>
              </c:ext>
            </c:extLst>
          </c:dPt>
          <c:dPt>
            <c:idx val="3"/>
            <c:bubble3D val="0"/>
            <c:spPr>
              <a:solidFill>
                <a:srgbClr val="FF0000"/>
              </a:solidFill>
              <a:ln w="19050">
                <a:no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Pivots2'!$B$205:$B$209</c:f>
              <c:strCache>
                <c:ptCount val="4"/>
                <c:pt idx="0">
                  <c:v>0. Cancelado</c:v>
                </c:pt>
                <c:pt idx="1">
                  <c:v>1. Concluído</c:v>
                </c:pt>
                <c:pt idx="2">
                  <c:v>4. Validação EF</c:v>
                </c:pt>
                <c:pt idx="3">
                  <c:v>6. Em implementação </c:v>
                </c:pt>
              </c:strCache>
            </c:strRef>
          </c:cat>
          <c:val>
            <c:numRef>
              <c:f>'Aux - Pivots2'!$C$205:$C$209</c:f>
              <c:numCache>
                <c:formatCode>General</c:formatCode>
                <c:ptCount val="4"/>
                <c:pt idx="0">
                  <c:v>4</c:v>
                </c:pt>
                <c:pt idx="1">
                  <c:v>115</c:v>
                </c:pt>
                <c:pt idx="2">
                  <c:v>2</c:v>
                </c:pt>
                <c:pt idx="3">
                  <c:v>13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51</xdr:row>
      <xdr:rowOff>146050</xdr:rowOff>
    </xdr:from>
    <xdr:to>
      <xdr:col>6</xdr:col>
      <xdr:colOff>251193</xdr:colOff>
      <xdr:row>85</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58</xdr:row>
      <xdr:rowOff>56603</xdr:rowOff>
    </xdr:from>
    <xdr:to>
      <xdr:col>14</xdr:col>
      <xdr:colOff>631909</xdr:colOff>
      <xdr:row>58</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58238</xdr:rowOff>
    </xdr:from>
    <xdr:to>
      <xdr:col>14</xdr:col>
      <xdr:colOff>628099</xdr:colOff>
      <xdr:row>61</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59332</xdr:rowOff>
    </xdr:from>
    <xdr:to>
      <xdr:col>14</xdr:col>
      <xdr:colOff>628099</xdr:colOff>
      <xdr:row>70</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76</xdr:row>
      <xdr:rowOff>58791</xdr:rowOff>
    </xdr:from>
    <xdr:to>
      <xdr:col>14</xdr:col>
      <xdr:colOff>628099</xdr:colOff>
      <xdr:row>76</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79</xdr:row>
      <xdr:rowOff>58521</xdr:rowOff>
    </xdr:from>
    <xdr:to>
      <xdr:col>14</xdr:col>
      <xdr:colOff>628099</xdr:colOff>
      <xdr:row>79</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56941</xdr:rowOff>
    </xdr:from>
    <xdr:to>
      <xdr:col>14</xdr:col>
      <xdr:colOff>624921</xdr:colOff>
      <xdr:row>106</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62994</xdr:rowOff>
    </xdr:from>
    <xdr:to>
      <xdr:col>14</xdr:col>
      <xdr:colOff>624921</xdr:colOff>
      <xdr:row>109</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115</xdr:row>
      <xdr:rowOff>66849</xdr:rowOff>
    </xdr:from>
    <xdr:to>
      <xdr:col>14</xdr:col>
      <xdr:colOff>625339</xdr:colOff>
      <xdr:row>115</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118</xdr:row>
      <xdr:rowOff>61051</xdr:rowOff>
    </xdr:from>
    <xdr:to>
      <xdr:col>14</xdr:col>
      <xdr:colOff>624921</xdr:colOff>
      <xdr:row>118</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121</xdr:row>
      <xdr:rowOff>63293</xdr:rowOff>
    </xdr:from>
    <xdr:to>
      <xdr:col>14</xdr:col>
      <xdr:colOff>624921</xdr:colOff>
      <xdr:row>121</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127</xdr:row>
      <xdr:rowOff>56346</xdr:rowOff>
    </xdr:from>
    <xdr:to>
      <xdr:col>14</xdr:col>
      <xdr:colOff>621111</xdr:colOff>
      <xdr:row>127</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124</xdr:row>
      <xdr:rowOff>63629</xdr:rowOff>
    </xdr:from>
    <xdr:to>
      <xdr:col>14</xdr:col>
      <xdr:colOff>624921</xdr:colOff>
      <xdr:row>124</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159</xdr:row>
      <xdr:rowOff>56604</xdr:rowOff>
    </xdr:from>
    <xdr:to>
      <xdr:col>14</xdr:col>
      <xdr:colOff>624919</xdr:colOff>
      <xdr:row>159</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58608</xdr:rowOff>
    </xdr:from>
    <xdr:to>
      <xdr:col>14</xdr:col>
      <xdr:colOff>628729</xdr:colOff>
      <xdr:row>163</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54897</xdr:rowOff>
    </xdr:from>
    <xdr:to>
      <xdr:col>14</xdr:col>
      <xdr:colOff>628729</xdr:colOff>
      <xdr:row>167</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63989</xdr:rowOff>
    </xdr:from>
    <xdr:to>
      <xdr:col>14</xdr:col>
      <xdr:colOff>625339</xdr:colOff>
      <xdr:row>175</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179</xdr:row>
      <xdr:rowOff>56048</xdr:rowOff>
    </xdr:from>
    <xdr:to>
      <xdr:col>14</xdr:col>
      <xdr:colOff>628729</xdr:colOff>
      <xdr:row>179</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183</xdr:row>
      <xdr:rowOff>56146</xdr:rowOff>
    </xdr:from>
    <xdr:to>
      <xdr:col>14</xdr:col>
      <xdr:colOff>628729</xdr:colOff>
      <xdr:row>183</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191</xdr:row>
      <xdr:rowOff>60156</xdr:rowOff>
    </xdr:from>
    <xdr:to>
      <xdr:col>14</xdr:col>
      <xdr:colOff>624919</xdr:colOff>
      <xdr:row>191</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187</xdr:row>
      <xdr:rowOff>54340</xdr:rowOff>
    </xdr:from>
    <xdr:to>
      <xdr:col>14</xdr:col>
      <xdr:colOff>628729</xdr:colOff>
      <xdr:row>187</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102</xdr:row>
      <xdr:rowOff>76535</xdr:rowOff>
    </xdr:from>
    <xdr:to>
      <xdr:col>14</xdr:col>
      <xdr:colOff>635000</xdr:colOff>
      <xdr:row>145</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139700</xdr:rowOff>
    </xdr:from>
    <xdr:to>
      <xdr:col>5</xdr:col>
      <xdr:colOff>465667</xdr:colOff>
      <xdr:row>124</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158</xdr:row>
      <xdr:rowOff>37660</xdr:rowOff>
    </xdr:from>
    <xdr:to>
      <xdr:col>14</xdr:col>
      <xdr:colOff>401732</xdr:colOff>
      <xdr:row>200</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215</xdr:row>
      <xdr:rowOff>0</xdr:rowOff>
    </xdr:from>
    <xdr:to>
      <xdr:col>14</xdr:col>
      <xdr:colOff>621111</xdr:colOff>
      <xdr:row>215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215</xdr:row>
      <xdr:rowOff>0</xdr:rowOff>
    </xdr:from>
    <xdr:to>
      <xdr:col>14</xdr:col>
      <xdr:colOff>632959</xdr:colOff>
      <xdr:row>215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215</xdr:row>
      <xdr:rowOff>0</xdr:rowOff>
    </xdr:from>
    <xdr:to>
      <xdr:col>14</xdr:col>
      <xdr:colOff>621111</xdr:colOff>
      <xdr:row>215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221</xdr:row>
      <xdr:rowOff>130394</xdr:rowOff>
    </xdr:from>
    <xdr:to>
      <xdr:col>14</xdr:col>
      <xdr:colOff>369793</xdr:colOff>
      <xdr:row>224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216</xdr:row>
      <xdr:rowOff>78081</xdr:rowOff>
    </xdr:from>
    <xdr:to>
      <xdr:col>6</xdr:col>
      <xdr:colOff>327030</xdr:colOff>
      <xdr:row>228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57</xdr:row>
      <xdr:rowOff>85830</xdr:rowOff>
    </xdr:from>
    <xdr:to>
      <xdr:col>14</xdr:col>
      <xdr:colOff>352159</xdr:colOff>
      <xdr:row>89</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67</xdr:row>
      <xdr:rowOff>53887</xdr:rowOff>
    </xdr:from>
    <xdr:to>
      <xdr:col>14</xdr:col>
      <xdr:colOff>628099</xdr:colOff>
      <xdr:row>67</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73</xdr:row>
      <xdr:rowOff>62872</xdr:rowOff>
    </xdr:from>
    <xdr:to>
      <xdr:col>14</xdr:col>
      <xdr:colOff>628099</xdr:colOff>
      <xdr:row>73</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112</xdr:row>
      <xdr:rowOff>59522</xdr:rowOff>
    </xdr:from>
    <xdr:to>
      <xdr:col>14</xdr:col>
      <xdr:colOff>634864</xdr:colOff>
      <xdr:row>112</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56900</xdr:rowOff>
    </xdr:from>
    <xdr:to>
      <xdr:col>14</xdr:col>
      <xdr:colOff>645244</xdr:colOff>
      <xdr:row>171</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161</xdr:row>
      <xdr:rowOff>178592</xdr:rowOff>
    </xdr:from>
    <xdr:to>
      <xdr:col>6</xdr:col>
      <xdr:colOff>357185</xdr:colOff>
      <xdr:row>178</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182</xdr:row>
      <xdr:rowOff>8503</xdr:rowOff>
    </xdr:from>
    <xdr:to>
      <xdr:col>6</xdr:col>
      <xdr:colOff>329971</xdr:colOff>
      <xdr:row>197</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6.6751234953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6.67514074074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6.67514328703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6.67514629629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6.67514895833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5">
        <s v="0. Cancelado"/>
        <s v="1. Concluído"/>
        <s v="4. Validação EF"/>
        <s v="6. Em implementação"/>
        <s v="2.1 Em Teste"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6.6751512731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4">
        <s v="0. Cancelado"/>
        <s v="1. Concluíd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6.67515347222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6.675173958334"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2.1 Em Teste"/>
        <s v="0. Cancelado"/>
        <s v="2. Em Teste" u="1"/>
        <s v="7. Por iniciar" u="1"/>
        <s v="2.2 Em Re-especificação" u="1"/>
        <e v="#N/A" u="1"/>
        <s v="5. Em Correção"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1"/>
    <s v="6. Em implementação "/>
    <m/>
    <s v="Package 4"/>
    <s v="Package 11 (23 abril)"/>
    <m/>
    <s v=""/>
    <s v=""/>
    <s v=""/>
    <m/>
    <m/>
    <s v="Novo Projeto - Em especificação"/>
    <s v="ESTR, GD, GF, ESG e LF"/>
    <s v="Novos Requisitos FY25 - Âmbito ESTR e (ou) LF"/>
    <x v="1"/>
    <s v="HF"/>
  </r>
  <r>
    <x v="0"/>
    <x v="1"/>
    <x v="0"/>
    <s v="lt003_entity"/>
    <s v="ec_grp_id"/>
    <x v="1"/>
    <s v="6. Em implementação "/>
    <m/>
    <s v="Package 4"/>
    <s v="Package 11 (23 abril)"/>
    <m/>
    <s v=""/>
    <s v=""/>
    <s v=""/>
    <m/>
    <m/>
    <s v="Novo Projeto - Em especificação"/>
    <s v="ESTR, P3, GF e LF"/>
    <s v="Novos Requisitos FY25 - Âmbito ESTR e (ou) LF"/>
    <x v="1"/>
    <s v="JB"/>
  </r>
  <r>
    <x v="0"/>
    <x v="1"/>
    <x v="0"/>
    <s v="lt003_entity"/>
    <s v="ec_grp_nm"/>
    <x v="1"/>
    <s v="6. Em implementação "/>
    <m/>
    <s v="Package 4"/>
    <s v="Package 11 (23 abril)"/>
    <m/>
    <s v=""/>
    <s v=""/>
    <s v=""/>
    <m/>
    <m/>
    <s v="Novo Projeto - Em especificação"/>
    <s v="ESTR, P3, GF e LF"/>
    <s v="Novos Requisitos FY25 - Âmbito ESTR e (ou) LF"/>
    <x v="1"/>
    <s v="JB"/>
  </r>
  <r>
    <x v="0"/>
    <x v="1"/>
    <x v="0"/>
    <s v="lt004_protection"/>
    <s v="RL_ESTT_ADDRSS"/>
    <x v="1"/>
    <s v="6. Em implementação "/>
    <m/>
    <s v="Package 4"/>
    <s v="Package 11 (23 abril)"/>
    <m/>
    <s v=""/>
    <s v=""/>
    <s v=""/>
    <m/>
    <m/>
    <s v="Novo Projeto - Em especificação"/>
    <s v="ESTR e ESG"/>
    <s v="Novos Requisitos FY25 - Âmbito ESTR e (ou) LF"/>
    <x v="1"/>
    <s v="JB"/>
  </r>
  <r>
    <x v="0"/>
    <x v="1"/>
    <x v="0"/>
    <s v="lt004_protection"/>
    <s v="RL_ESTT_CLLTRL_LCTN_INT"/>
    <x v="1"/>
    <s v="6. Em implementação "/>
    <m/>
    <s v="Package 5"/>
    <s v="Package 11 (23 abril)"/>
    <m/>
    <s v=""/>
    <s v=""/>
    <s v=""/>
    <m/>
    <m/>
    <s v="Novo Projeto - Em especificação"/>
    <s v="ESTR e ESG"/>
    <s v="Novos Requisitos FY25 - Âmbito ESTR e (ou) LF"/>
    <x v="1"/>
    <s v="JB"/>
  </r>
  <r>
    <x v="0"/>
    <x v="1"/>
    <x v="0"/>
    <s v="lt004_protection"/>
    <s v="RL_ESTT_CTY"/>
    <x v="1"/>
    <s v="6. Em implementação "/>
    <m/>
    <s v="Package 3"/>
    <s v="Package 11 (23 abril)"/>
    <m/>
    <s v=""/>
    <s v=""/>
    <s v=""/>
    <m/>
    <m/>
    <s v="Novo Projeto - Em especificação"/>
    <s v="ESTR e ESG"/>
    <s v="Novos Requisitos FY25 - Âmbito ESTR e (ou) LF"/>
    <x v="1"/>
    <s v="JB"/>
  </r>
  <r>
    <x v="0"/>
    <x v="1"/>
    <x v="0"/>
    <s v="lt004_protection"/>
    <s v="YR_CNSTRCTN"/>
    <x v="1"/>
    <s v="6. Em implementação "/>
    <m/>
    <s v="Package 3"/>
    <s v="Package 11 (23 abril)"/>
    <m/>
    <s v=""/>
    <s v=""/>
    <s v=""/>
    <m/>
    <m/>
    <s v="Novo Projeto - Em especificação"/>
    <s v="ESTR, P3 e ESG"/>
    <s v="Novos Requisitos FY25 - Âmbito ESTR e (ou) LF"/>
    <x v="1"/>
    <s v="JB"/>
  </r>
  <r>
    <x v="0"/>
    <x v="1"/>
    <x v="0"/>
    <s v="lt004_protection"/>
    <s v="BLDNG_AR"/>
    <x v="1"/>
    <s v="6. Em implementação "/>
    <m/>
    <s v="Package 3"/>
    <s v="Package 11 (23 abril)"/>
    <m/>
    <s v=""/>
    <s v=""/>
    <s v=""/>
    <m/>
    <m/>
    <s v="Novo Projeto - Em especificação"/>
    <s v="P3 e ESG"/>
    <s v="Novos Requisitos FY25 - Outros"/>
    <x v="1"/>
    <s v="JB"/>
  </r>
  <r>
    <x v="0"/>
    <x v="1"/>
    <x v="0"/>
    <s v="lt002_instrument"/>
    <s v="NW_BSNSS"/>
    <x v="1"/>
    <s v="6. Em implementação "/>
    <m/>
    <s v="Package 5"/>
    <s v="Package 12 (30 maio)"/>
    <m/>
    <s v=""/>
    <s v=""/>
    <s v=""/>
    <m/>
    <m/>
    <s v="Novo Projeto - Em especificação"/>
    <s v="GD, P3 e GF"/>
    <s v="Novos Requisitos FY25 - Outros"/>
    <x v="1"/>
    <s v="RC"/>
  </r>
  <r>
    <x v="0"/>
    <x v="1"/>
    <x v="0"/>
    <s v="lt002_instrument"/>
    <s v="CNCLLD_INSTRMNT_STTS"/>
    <x v="2"/>
    <s v="4. Validação EF"/>
    <m/>
    <s v="Package 5"/>
    <s v="Package 12 (30 maio)"/>
    <m/>
    <s v=""/>
    <s v=""/>
    <s v=""/>
    <m/>
    <m/>
    <s v="Novo Projeto - Em especificação"/>
    <s v="GD, P3 e GF"/>
    <s v="Novos Requisitos FY25 - Outros"/>
    <x v="1"/>
    <s v="RC"/>
  </r>
  <r>
    <x v="0"/>
    <x v="1"/>
    <x v="0"/>
    <s v="lt002_instrument"/>
    <s v="TYP_OFF_BLNC_PRDCT"/>
    <x v="1"/>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0"/>
    <s v="1. Concluído"/>
    <m/>
    <s v="Package 1"/>
    <s v="Package 2"/>
    <m/>
    <s v=""/>
    <s v=""/>
    <s v=""/>
    <m/>
    <m/>
    <m/>
    <m/>
    <m/>
    <x v="1"/>
    <m/>
  </r>
  <r>
    <x v="0"/>
    <x v="2"/>
    <x v="0"/>
    <s v="modesg_out_empr_info_nfin"/>
    <s v="ppc_turnover_own_prfrmnce_algnd"/>
    <x v="0"/>
    <s v="1. Concluído"/>
    <m/>
    <s v="Package 1"/>
    <s v="Package 2"/>
    <m/>
    <s v=""/>
    <s v=""/>
    <s v=""/>
    <m/>
    <m/>
    <m/>
    <m/>
    <m/>
    <x v="1"/>
    <m/>
  </r>
  <r>
    <x v="0"/>
    <x v="2"/>
    <x v="0"/>
    <s v="modesg_out_empr_info_nfin"/>
    <s v="ppc_capex_ttl_elgbl"/>
    <x v="0"/>
    <s v="1. Concluído"/>
    <m/>
    <s v="Package 1"/>
    <s v="Package 2"/>
    <m/>
    <s v=""/>
    <s v=""/>
    <s v=""/>
    <m/>
    <m/>
    <m/>
    <m/>
    <m/>
    <x v="1"/>
    <m/>
  </r>
  <r>
    <x v="0"/>
    <x v="2"/>
    <x v="0"/>
    <s v="modesg_out_empr_info_nfin"/>
    <s v="ppc_capex_own_prfrmnce_algnd"/>
    <x v="0"/>
    <s v="1. Concluído"/>
    <m/>
    <s v="Package 1"/>
    <s v="Package 2"/>
    <m/>
    <s v=""/>
    <s v=""/>
    <s v=""/>
    <m/>
    <m/>
    <m/>
    <m/>
    <m/>
    <x v="1"/>
    <m/>
  </r>
  <r>
    <x v="0"/>
    <x v="2"/>
    <x v="0"/>
    <s v="modesg_out_empr_info_nfin"/>
    <s v="bio_trnvr_ttl_elgbl"/>
    <x v="0"/>
    <s v="1. Concluído"/>
    <m/>
    <s v="Package 1"/>
    <s v="Package 2"/>
    <m/>
    <s v=""/>
    <s v=""/>
    <s v=""/>
    <m/>
    <m/>
    <m/>
    <m/>
    <m/>
    <x v="1"/>
    <m/>
  </r>
  <r>
    <x v="0"/>
    <x v="2"/>
    <x v="0"/>
    <s v="modesg_out_empr_info_nfin"/>
    <s v="bio_turnover_own_prfrmnce_algnd"/>
    <x v="0"/>
    <s v="1. Concluído"/>
    <m/>
    <s v="Package 1"/>
    <s v="Package 2"/>
    <m/>
    <s v=""/>
    <s v=""/>
    <s v=""/>
    <m/>
    <m/>
    <m/>
    <m/>
    <m/>
    <x v="1"/>
    <m/>
  </r>
  <r>
    <x v="0"/>
    <x v="2"/>
    <x v="0"/>
    <s v="modesg_out_empr_info_nfin"/>
    <s v="bio_capex_ttl_elgbl"/>
    <x v="0"/>
    <s v="1. Concluído"/>
    <m/>
    <s v="Package 1"/>
    <s v="Package 2"/>
    <m/>
    <s v=""/>
    <s v=""/>
    <s v=""/>
    <m/>
    <m/>
    <m/>
    <m/>
    <m/>
    <x v="1"/>
    <m/>
  </r>
  <r>
    <x v="0"/>
    <x v="2"/>
    <x v="0"/>
    <s v="modesg_out_empr_info_nfin"/>
    <s v="bio_capex_own_prfrmnce_algnd"/>
    <x v="0"/>
    <s v="1. Concluído"/>
    <m/>
    <s v="Package 1"/>
    <s v="Package 2"/>
    <m/>
    <s v=""/>
    <s v=""/>
    <s v=""/>
    <m/>
    <m/>
    <m/>
    <m/>
    <m/>
    <x v="1"/>
    <m/>
  </r>
  <r>
    <x v="0"/>
    <x v="2"/>
    <x v="0"/>
    <s v="modesg_out_empr_info_nfin"/>
    <s v="wtr_trnvr_ttl_elgbl"/>
    <x v="0"/>
    <s v="1. Concluído"/>
    <m/>
    <s v="Package 1"/>
    <s v="Package 2"/>
    <m/>
    <s v=""/>
    <s v=""/>
    <s v=""/>
    <m/>
    <m/>
    <m/>
    <m/>
    <m/>
    <x v="1"/>
    <m/>
  </r>
  <r>
    <x v="0"/>
    <x v="2"/>
    <x v="0"/>
    <s v="modesg_out_empr_info_nfin"/>
    <s v="wtr_trnvr_enblng_alignd"/>
    <x v="0"/>
    <s v="1. Concluído"/>
    <m/>
    <s v="Package 1"/>
    <s v="Package 2"/>
    <m/>
    <s v=""/>
    <s v=""/>
    <s v=""/>
    <m/>
    <m/>
    <m/>
    <m/>
    <m/>
    <x v="1"/>
    <m/>
  </r>
  <r>
    <x v="0"/>
    <x v="2"/>
    <x v="0"/>
    <s v="modesg_out_empr_info_nfin"/>
    <s v="wtr_turnover_own_prfrmnce_algnd"/>
    <x v="0"/>
    <s v="1. Concluído"/>
    <m/>
    <s v="Package 1"/>
    <s v="Package 2"/>
    <m/>
    <s v=""/>
    <s v=""/>
    <s v=""/>
    <m/>
    <m/>
    <m/>
    <m/>
    <m/>
    <x v="1"/>
    <m/>
  </r>
  <r>
    <x v="0"/>
    <x v="2"/>
    <x v="0"/>
    <s v="modesg_out_empr_info_nfin"/>
    <s v="wtr_capex_ttl_elgbl"/>
    <x v="0"/>
    <s v="1. Concluído"/>
    <m/>
    <s v="Package 1"/>
    <s v="Package 2"/>
    <m/>
    <s v=""/>
    <s v=""/>
    <s v=""/>
    <m/>
    <m/>
    <m/>
    <m/>
    <m/>
    <x v="1"/>
    <m/>
  </r>
  <r>
    <x v="0"/>
    <x v="2"/>
    <x v="0"/>
    <s v="modesg_out_empr_info_nfin"/>
    <s v="wtr_capex_enblng_algnd"/>
    <x v="0"/>
    <s v="1. Concluído"/>
    <m/>
    <s v="Package 1"/>
    <s v="Package 2"/>
    <m/>
    <s v=""/>
    <s v=""/>
    <s v=""/>
    <m/>
    <m/>
    <m/>
    <m/>
    <m/>
    <x v="1"/>
    <m/>
  </r>
  <r>
    <x v="0"/>
    <x v="2"/>
    <x v="0"/>
    <s v="modesg_out_empr_info_nfin"/>
    <s v="wtr_capex_own_prfrmnce_algnd"/>
    <x v="0"/>
    <s v="1. Concluído"/>
    <m/>
    <s v="Package 1"/>
    <s v="Package 2"/>
    <m/>
    <s v=""/>
    <s v=""/>
    <s v=""/>
    <m/>
    <m/>
    <m/>
    <m/>
    <m/>
    <x v="1"/>
    <m/>
  </r>
  <r>
    <x v="0"/>
    <x v="2"/>
    <x v="0"/>
    <s v="modesg_out_empr_info_nfin"/>
    <s v="ce_trnvr_ttl_elgbl"/>
    <x v="0"/>
    <s v="1. Concluído"/>
    <m/>
    <s v="Package 1"/>
    <s v="Package 2"/>
    <m/>
    <s v=""/>
    <s v=""/>
    <s v=""/>
    <m/>
    <m/>
    <m/>
    <m/>
    <m/>
    <x v="1"/>
    <m/>
  </r>
  <r>
    <x v="0"/>
    <x v="2"/>
    <x v="0"/>
    <s v="modesg_out_empr_info_nfin"/>
    <s v="ce_trnvr_enblng_alignd"/>
    <x v="0"/>
    <s v="1. Concluído"/>
    <m/>
    <s v="Package 1"/>
    <s v="Package 2"/>
    <m/>
    <s v=""/>
    <s v=""/>
    <s v=""/>
    <m/>
    <m/>
    <m/>
    <m/>
    <m/>
    <x v="1"/>
    <m/>
  </r>
  <r>
    <x v="0"/>
    <x v="2"/>
    <x v="0"/>
    <s v="modesg_out_empr_info_nfin"/>
    <s v="ce_turnover_own_prfrmnce_algnd"/>
    <x v="0"/>
    <s v="1. Concluído"/>
    <m/>
    <s v="Package 1"/>
    <s v="Package 2"/>
    <m/>
    <s v=""/>
    <s v=""/>
    <s v=""/>
    <m/>
    <m/>
    <m/>
    <m/>
    <m/>
    <x v="1"/>
    <m/>
  </r>
  <r>
    <x v="0"/>
    <x v="2"/>
    <x v="0"/>
    <s v="modesg_out_empr_info_nfin"/>
    <s v="ce_capex_ttl_elgbl"/>
    <x v="0"/>
    <s v="1. Concluído"/>
    <m/>
    <s v="Package 1"/>
    <s v="Package 2"/>
    <m/>
    <s v=""/>
    <s v=""/>
    <s v=""/>
    <m/>
    <m/>
    <m/>
    <m/>
    <m/>
    <x v="1"/>
    <m/>
  </r>
  <r>
    <x v="0"/>
    <x v="2"/>
    <x v="0"/>
    <s v="modesg_out_empr_info_nfin"/>
    <s v="ce_capex_enblng_algnd"/>
    <x v="0"/>
    <s v="1. Concluído"/>
    <m/>
    <s v="Package 1"/>
    <s v="Package 2"/>
    <m/>
    <s v=""/>
    <s v=""/>
    <s v=""/>
    <m/>
    <m/>
    <m/>
    <m/>
    <m/>
    <x v="1"/>
    <m/>
  </r>
  <r>
    <x v="0"/>
    <x v="2"/>
    <x v="0"/>
    <s v="modesg_out_empr_info_nfin"/>
    <s v="ce_capex_own_prfrmnce_algnd"/>
    <x v="0"/>
    <s v="1. Concluído"/>
    <m/>
    <s v="Package 1"/>
    <s v="Package 2"/>
    <m/>
    <s v=""/>
    <s v=""/>
    <s v=""/>
    <m/>
    <m/>
    <m/>
    <m/>
    <m/>
    <x v="1"/>
    <m/>
  </r>
  <r>
    <x v="0"/>
    <x v="1"/>
    <x v="0"/>
    <s v="lt007_instr_activity"/>
    <s v="PRCNTG_ACTVTY"/>
    <x v="1"/>
    <s v="6. Em implementação "/>
    <m/>
    <s v="Package 5"/>
    <s v="Package 23 abril"/>
    <m/>
    <s v=""/>
    <s v=""/>
    <s v=""/>
    <m/>
    <m/>
    <s v="Novo Projeto - Em especificação"/>
    <s v="GD, P3 e GF"/>
    <s v="Novos Requisitos FY25 - Outros"/>
    <x v="1"/>
    <s v="RC"/>
  </r>
  <r>
    <x v="0"/>
    <x v="1"/>
    <x v="0"/>
    <s v="lt007_instr_activity"/>
    <s v="FLG_SBSTNTL_CNTRBTN"/>
    <x v="1"/>
    <s v="6. Em implementação "/>
    <m/>
    <s v="Package 5"/>
    <s v="Package 23 abril"/>
    <m/>
    <s v=""/>
    <s v=""/>
    <s v=""/>
    <m/>
    <m/>
    <s v="Novo Projeto - Em especificação"/>
    <s v="P3"/>
    <s v="Novos Requisitos FY25 - Outros"/>
    <x v="1"/>
    <s v="RC"/>
  </r>
  <r>
    <x v="0"/>
    <x v="1"/>
    <x v="0"/>
    <s v="lt003_entity"/>
    <s v="grp_ecnmc_actvty"/>
    <x v="1"/>
    <s v="6. Em implementação "/>
    <m/>
    <s v="Package 5"/>
    <s v="Package 23 abril"/>
    <m/>
    <s v=""/>
    <s v=""/>
    <s v=""/>
    <m/>
    <m/>
    <s v="Novo Projeto - Em especificação"/>
    <s v="P3, GF e ESG"/>
    <s v="Novos Requisitos FY25 - Outros"/>
    <x v="1"/>
    <s v="JB"/>
  </r>
  <r>
    <x v="0"/>
    <x v="1"/>
    <x v="0"/>
    <s v="lt006_instr_prot"/>
    <s v="TYP_RLTN"/>
    <x v="1"/>
    <s v="6. Em implementação "/>
    <m/>
    <s v="Package 5"/>
    <s v="Package 23 abril"/>
    <m/>
    <s v=""/>
    <s v=""/>
    <s v=""/>
    <m/>
    <m/>
    <s v="Novo Projeto - Em especificação"/>
    <s v="GD e P3"/>
    <s v="Novos Requisitos FY25 - Outros"/>
    <x v="1"/>
    <s v="JB"/>
  </r>
  <r>
    <x v="0"/>
    <x v="1"/>
    <x v="0"/>
    <s v="lt004_protection"/>
    <s v="EPC_EMSSNS_LBL"/>
    <x v="0"/>
    <s v="1. Concluído"/>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1"/>
    <s v="6. Em implementação "/>
    <m/>
    <s v="Package 4"/>
    <s v="Package 23 abril"/>
    <m/>
    <s v=""/>
    <s v=""/>
    <s v=""/>
    <m/>
    <m/>
    <s v="Novo Projeto - Em especificação"/>
    <s v="GD, P3 e ESG"/>
    <s v="Novos Requisitos FY25 - Outros"/>
    <x v="1"/>
    <s v="JB"/>
  </r>
  <r>
    <x v="0"/>
    <x v="1"/>
    <x v="0"/>
    <s v="lt004_protection"/>
    <s v="PRMRY_ENRGY_DMND_TTL"/>
    <x v="1"/>
    <s v="6. Em implementação "/>
    <m/>
    <s v="Package 4"/>
    <s v="Package 23 abril"/>
    <m/>
    <s v=""/>
    <s v=""/>
    <s v=""/>
    <m/>
    <m/>
    <s v="Novo Projeto - Em especificação"/>
    <s v="P3 e ESG"/>
    <s v="Novos Requisitos FY25 - Outros"/>
    <x v="1"/>
    <s v="HF"/>
  </r>
  <r>
    <x v="0"/>
    <x v="1"/>
    <x v="0"/>
    <s v="lt004_protection"/>
    <s v="PRMRY_ENRGY_DMND_RFRNC_VL"/>
    <x v="1"/>
    <s v="6. Em implementação "/>
    <m/>
    <s v="Package 4"/>
    <s v="Package 23 abril"/>
    <m/>
    <s v=""/>
    <s v=""/>
    <s v=""/>
    <m/>
    <m/>
    <s v="Novo Projeto - Em especificação"/>
    <s v="P3 e ESG"/>
    <s v="Novos Requisitos FY25 - Outros"/>
    <x v="1"/>
    <s v="HF"/>
  </r>
  <r>
    <x v="0"/>
    <x v="1"/>
    <x v="0"/>
    <s v="lt004_protection"/>
    <s v="RL_ESTT_CLMT_ZN"/>
    <x v="1"/>
    <s v="6. Em implementação "/>
    <m/>
    <s v="Package 4"/>
    <s v="Package 23 abril"/>
    <m/>
    <s v=""/>
    <s v=""/>
    <s v=""/>
    <m/>
    <m/>
    <s v="Novo Projeto - Em especificação"/>
    <s v="P3 e ESG"/>
    <s v="Novos Requisitos FY25 - Outros"/>
    <x v="1"/>
    <s v="JB"/>
  </r>
  <r>
    <x v="0"/>
    <x v="3"/>
    <x v="0"/>
    <s v="ENERGY_CERTIFICATE_EST_INPUT"/>
    <s v="CHAVE_GLOVAL"/>
    <x v="0"/>
    <s v="1. Concluído"/>
    <s v="Fase I"/>
    <s v="Package 1"/>
    <s v="Package 3"/>
    <m/>
    <s v=""/>
    <s v=""/>
    <s v=""/>
    <m/>
    <m/>
    <m/>
    <m/>
    <m/>
    <x v="2"/>
    <m/>
  </r>
  <r>
    <x v="0"/>
    <x v="3"/>
    <x v="0"/>
    <s v="ENERGY_CERTIFICATE_EST_INPUT"/>
    <s v="PROPERTY_BANK_ID"/>
    <x v="0"/>
    <s v="1. Concluído"/>
    <s v="Fase I"/>
    <s v="Package 1"/>
    <s v="Package 3"/>
    <m/>
    <s v=""/>
    <s v=""/>
    <s v=""/>
    <m/>
    <m/>
    <m/>
    <m/>
    <m/>
    <x v="0"/>
    <m/>
  </r>
  <r>
    <x v="0"/>
    <x v="3"/>
    <x v="0"/>
    <s v="ENERGY_CERTIFICATE_EST_INPUT"/>
    <s v="PROPERTY_BRANCH_CODE"/>
    <x v="0"/>
    <s v="1. Concluído"/>
    <s v="Fase I"/>
    <s v="Package 1"/>
    <s v="Package 3"/>
    <m/>
    <s v=""/>
    <s v=""/>
    <s v=""/>
    <m/>
    <m/>
    <m/>
    <m/>
    <m/>
    <x v="0"/>
    <m/>
  </r>
  <r>
    <x v="0"/>
    <x v="3"/>
    <x v="0"/>
    <s v="ENERGY_CERTIFICATE_EST_INPUT"/>
    <s v="PROPERTY_CONTRACT_ID"/>
    <x v="0"/>
    <s v="1. Concluído"/>
    <s v="Fase I"/>
    <s v="Package 1"/>
    <s v="Package 3"/>
    <m/>
    <s v=""/>
    <s v=""/>
    <s v=""/>
    <m/>
    <m/>
    <m/>
    <m/>
    <m/>
    <x v="0"/>
    <m/>
  </r>
  <r>
    <x v="0"/>
    <x v="3"/>
    <x v="0"/>
    <s v="ENERGY_CERTIFICATE_EST_INPUT"/>
    <s v="PROPERTY_REFERENCE_CODE"/>
    <x v="0"/>
    <s v="1. Concluído"/>
    <s v="Fase I"/>
    <s v="Package 1"/>
    <s v="Package 3"/>
    <m/>
    <s v=""/>
    <s v=""/>
    <s v=""/>
    <m/>
    <m/>
    <m/>
    <m/>
    <m/>
    <x v="0"/>
    <m/>
  </r>
  <r>
    <x v="0"/>
    <x v="3"/>
    <x v="0"/>
    <s v="ENERGY_CERTIFICATE_EST_INPUT"/>
    <s v="CÓDIGO_DISTRITO"/>
    <x v="0"/>
    <s v="1. Concluído"/>
    <s v="Fase I"/>
    <s v="Package 1"/>
    <s v="Package 3"/>
    <m/>
    <s v=""/>
    <s v=""/>
    <s v=""/>
    <m/>
    <m/>
    <m/>
    <m/>
    <m/>
    <x v="3"/>
    <m/>
  </r>
  <r>
    <x v="0"/>
    <x v="3"/>
    <x v="0"/>
    <s v="ENERGY_CERTIFICATE_EST_INPUT"/>
    <s v="NOMBRE_DISTRITO"/>
    <x v="0"/>
    <s v="1. Concluído"/>
    <s v="Fase I"/>
    <s v="Package 1"/>
    <s v="Package 3"/>
    <m/>
    <s v=""/>
    <s v=""/>
    <s v=""/>
    <m/>
    <m/>
    <m/>
    <m/>
    <m/>
    <x v="3"/>
    <m/>
  </r>
  <r>
    <x v="0"/>
    <x v="3"/>
    <x v="0"/>
    <s v="ENERGY_CERTIFICATE_EST_INPUT"/>
    <s v="CÓDIGO_CONCEJO"/>
    <x v="0"/>
    <s v="1. Concluído"/>
    <s v="Fase I"/>
    <s v="Package 1"/>
    <s v="Package 3"/>
    <m/>
    <s v=""/>
    <s v=""/>
    <s v=""/>
    <m/>
    <m/>
    <m/>
    <m/>
    <m/>
    <x v="3"/>
    <m/>
  </r>
  <r>
    <x v="0"/>
    <x v="3"/>
    <x v="0"/>
    <s v="ENERGY_CERTIFICATE_EST_INPUT"/>
    <s v="NOMBRE_CONCEJO"/>
    <x v="0"/>
    <s v="1. Concluído"/>
    <s v="Fase I"/>
    <s v="Package 1"/>
    <s v="Package 3"/>
    <m/>
    <s v=""/>
    <s v=""/>
    <s v=""/>
    <m/>
    <m/>
    <m/>
    <m/>
    <m/>
    <x v="3"/>
    <m/>
  </r>
  <r>
    <x v="0"/>
    <x v="3"/>
    <x v="0"/>
    <s v="ENERGY_CERTIFICATE_EST_INPUT"/>
    <s v="CÓDIGO_FREGUESIA"/>
    <x v="0"/>
    <s v="1. Concluído"/>
    <s v="Fase I"/>
    <s v="Package 1"/>
    <s v="Package 3"/>
    <m/>
    <s v=""/>
    <s v=""/>
    <s v=""/>
    <m/>
    <m/>
    <m/>
    <m/>
    <m/>
    <x v="3"/>
    <m/>
  </r>
  <r>
    <x v="0"/>
    <x v="3"/>
    <x v="0"/>
    <s v="ENERGY_CERTIFICATE_EST_INPUT"/>
    <s v="NOMBRE_FREGUESIA"/>
    <x v="0"/>
    <s v="1. Concluído"/>
    <s v="Fase I"/>
    <s v="Package 1"/>
    <s v="Package 3"/>
    <m/>
    <s v=""/>
    <s v=""/>
    <s v=""/>
    <m/>
    <m/>
    <m/>
    <m/>
    <m/>
    <x v="3"/>
    <m/>
  </r>
  <r>
    <x v="0"/>
    <x v="3"/>
    <x v="0"/>
    <s v="ENERGY_CERTIFICATE_EST_INPUT"/>
    <s v="LOCALIDADE"/>
    <x v="0"/>
    <s v="1. Concluído"/>
    <s v="Fase I"/>
    <s v="Package 1"/>
    <s v="Package 3"/>
    <m/>
    <s v=""/>
    <s v=""/>
    <s v=""/>
    <m/>
    <m/>
    <m/>
    <m/>
    <m/>
    <x v="3"/>
    <m/>
  </r>
  <r>
    <x v="0"/>
    <x v="3"/>
    <x v="0"/>
    <s v="ENERGY_CERTIFICATE_EST_INPUT"/>
    <s v="TIPO_VIA"/>
    <x v="0"/>
    <s v="1. Concluído"/>
    <s v="Fase I"/>
    <s v="Package 1"/>
    <s v="Package 3"/>
    <m/>
    <s v=""/>
    <s v=""/>
    <s v=""/>
    <m/>
    <m/>
    <m/>
    <m/>
    <m/>
    <x v="3"/>
    <m/>
  </r>
  <r>
    <x v="0"/>
    <x v="3"/>
    <x v="0"/>
    <s v="ENERGY_CERTIFICATE_EST_INPUT"/>
    <s v="NOMBRE_TIPO_VIA"/>
    <x v="0"/>
    <s v="1. Concluído"/>
    <s v="Fase I"/>
    <s v="Package 1"/>
    <s v="Package 3"/>
    <m/>
    <s v=""/>
    <s v=""/>
    <s v=""/>
    <m/>
    <m/>
    <m/>
    <m/>
    <m/>
    <x v="3"/>
    <m/>
  </r>
  <r>
    <x v="0"/>
    <x v="3"/>
    <x v="0"/>
    <s v="ENERGY_CERTIFICATE_EST_INPUT"/>
    <s v="NOMBRE_VIA"/>
    <x v="0"/>
    <s v="1. Concluído"/>
    <s v="Fase I"/>
    <s v="Package 1"/>
    <s v="Package 3"/>
    <m/>
    <s v=""/>
    <s v=""/>
    <s v=""/>
    <m/>
    <m/>
    <m/>
    <m/>
    <m/>
    <x v="3"/>
    <m/>
  </r>
  <r>
    <x v="0"/>
    <x v="3"/>
    <x v="0"/>
    <s v="ENERGY_CERTIFICATE_EST_INPUT"/>
    <s v="NUMERO_VIA"/>
    <x v="0"/>
    <s v="1. Concluído"/>
    <s v="Fase I"/>
    <s v="Package 1"/>
    <s v="Package 3"/>
    <m/>
    <s v=""/>
    <s v=""/>
    <s v=""/>
    <m/>
    <m/>
    <m/>
    <m/>
    <m/>
    <x v="3"/>
    <m/>
  </r>
  <r>
    <x v="0"/>
    <x v="3"/>
    <x v="0"/>
    <s v="ENERGY_CERTIFICATE_EST_INPUT"/>
    <s v="LOTE"/>
    <x v="0"/>
    <s v="1. Concluído"/>
    <s v="Fase I"/>
    <s v="Package 1"/>
    <s v="Package 3"/>
    <m/>
    <s v=""/>
    <s v=""/>
    <s v=""/>
    <m/>
    <m/>
    <m/>
    <m/>
    <m/>
    <x v="3"/>
    <m/>
  </r>
  <r>
    <x v="0"/>
    <x v="3"/>
    <x v="0"/>
    <s v="ENERGY_CERTIFICATE_EST_INPUT"/>
    <s v="URBANIZACION"/>
    <x v="0"/>
    <s v="1. Concluído"/>
    <s v="Fase I"/>
    <s v="Package 1"/>
    <s v="Package 3"/>
    <m/>
    <s v=""/>
    <s v=""/>
    <s v=""/>
    <m/>
    <m/>
    <m/>
    <m/>
    <m/>
    <x v="3"/>
    <m/>
  </r>
  <r>
    <x v="0"/>
    <x v="3"/>
    <x v="0"/>
    <s v="ENERGY_CERTIFICATE_EST_INPUT"/>
    <s v="CAGLURB"/>
    <x v="0"/>
    <s v="1. Concluído"/>
    <s v="Fase I"/>
    <s v="Package 1"/>
    <s v="Package 3"/>
    <m/>
    <s v=""/>
    <s v=""/>
    <s v=""/>
    <m/>
    <m/>
    <m/>
    <m/>
    <m/>
    <x v="3"/>
    <m/>
  </r>
  <r>
    <x v="0"/>
    <x v="3"/>
    <x v="0"/>
    <s v="ENERGY_CERTIFICATE_EST_INPUT"/>
    <s v="RESTO_DIRECCION"/>
    <x v="0"/>
    <s v="1. Concluído"/>
    <s v="Fase I"/>
    <s v="Package 1"/>
    <s v="Package 3"/>
    <m/>
    <s v=""/>
    <s v=""/>
    <s v=""/>
    <m/>
    <m/>
    <m/>
    <m/>
    <m/>
    <x v="3"/>
    <m/>
  </r>
  <r>
    <x v="0"/>
    <x v="3"/>
    <x v="0"/>
    <s v="ENERGY_CERTIFICATE_EST_INPUT"/>
    <s v="LATITUDE"/>
    <x v="0"/>
    <s v="1. Concluído"/>
    <s v="Fase I"/>
    <s v="Package 1"/>
    <s v="Package 3"/>
    <m/>
    <s v=""/>
    <s v=""/>
    <s v=""/>
    <m/>
    <m/>
    <m/>
    <m/>
    <m/>
    <x v="3"/>
    <m/>
  </r>
  <r>
    <x v="0"/>
    <x v="3"/>
    <x v="0"/>
    <s v="ENERGY_CERTIFICATE_EST_INPUT"/>
    <s v="LONGITUDE"/>
    <x v="0"/>
    <s v="1. Concluído"/>
    <s v="Fase I"/>
    <s v="Package 1"/>
    <s v="Package 3"/>
    <m/>
    <s v=""/>
    <s v=""/>
    <s v=""/>
    <m/>
    <m/>
    <m/>
    <m/>
    <m/>
    <x v="3"/>
    <m/>
  </r>
  <r>
    <x v="0"/>
    <x v="3"/>
    <x v="0"/>
    <s v="ENERGY_CERTIFICATE_EST_INPUT"/>
    <s v="CODIGO_POSTAL"/>
    <x v="0"/>
    <s v="1. Concluído"/>
    <s v="Fase I"/>
    <s v="Package 1"/>
    <s v="Package 3"/>
    <m/>
    <s v=""/>
    <s v=""/>
    <s v=""/>
    <m/>
    <m/>
    <m/>
    <m/>
    <m/>
    <x v="3"/>
    <m/>
  </r>
  <r>
    <x v="0"/>
    <x v="3"/>
    <x v="0"/>
    <s v="ENERGY_CERTIFICATE_EST_INPUT"/>
    <s v="SUBCODIGO_POSTAL"/>
    <x v="0"/>
    <s v="1. Concluído"/>
    <s v="Fase I"/>
    <s v="Package 1"/>
    <s v="Package 3"/>
    <m/>
    <s v=""/>
    <s v=""/>
    <s v=""/>
    <m/>
    <m/>
    <m/>
    <m/>
    <m/>
    <x v="3"/>
    <m/>
  </r>
  <r>
    <x v="0"/>
    <x v="3"/>
    <x v="0"/>
    <s v="ENERGY_CERTIFICATE_EST_INPUT"/>
    <s v="ASSUPERFICIE_UTIL"/>
    <x v="0"/>
    <s v="1. Concluído"/>
    <s v="Fase I"/>
    <s v="Package 1"/>
    <s v="Package 3"/>
    <m/>
    <s v=""/>
    <s v=""/>
    <s v=""/>
    <m/>
    <m/>
    <m/>
    <m/>
    <m/>
    <x v="3"/>
    <m/>
  </r>
  <r>
    <x v="0"/>
    <x v="3"/>
    <x v="0"/>
    <s v="ENERGY_CERTIFICATE_EST_INPUT"/>
    <s v="ANIO_CONSTRUCCION"/>
    <x v="0"/>
    <s v="1. Concluído"/>
    <s v="Fase I"/>
    <s v="Package 1"/>
    <s v="Package 3"/>
    <m/>
    <s v=""/>
    <s v=""/>
    <s v=""/>
    <m/>
    <m/>
    <m/>
    <m/>
    <m/>
    <x v="3"/>
    <m/>
  </r>
  <r>
    <x v="0"/>
    <x v="3"/>
    <x v="0"/>
    <s v="ENERGY_CERTIFICATE_EST_INPUT"/>
    <s v="TIPO_INMUEBLE_HABITACAO"/>
    <x v="0"/>
    <s v="1. Concluído"/>
    <s v="Fase I"/>
    <s v="Package 1"/>
    <s v="Package 3"/>
    <m/>
    <s v=""/>
    <s v=""/>
    <s v=""/>
    <m/>
    <m/>
    <m/>
    <m/>
    <m/>
    <x v="3"/>
    <m/>
  </r>
  <r>
    <x v="0"/>
    <x v="3"/>
    <x v="0"/>
    <s v="ENERGY_CERTIFICATE_EST_INPUT"/>
    <s v="PISO_APARTAMENTO"/>
    <x v="0"/>
    <s v="1. Concluído"/>
    <s v="Fase I"/>
    <s v="Package 1"/>
    <s v="Package 3"/>
    <m/>
    <s v=""/>
    <s v=""/>
    <s v=""/>
    <m/>
    <m/>
    <m/>
    <m/>
    <m/>
    <x v="3"/>
    <m/>
  </r>
  <r>
    <x v="0"/>
    <x v="3"/>
    <x v="0"/>
    <s v="ENERGY_CERTIFICATE_EST_INPUT"/>
    <s v="CASA_UNIFAMILIAR"/>
    <x v="0"/>
    <s v="1. Concluído"/>
    <s v="Fase I"/>
    <s v="Package 1"/>
    <s v="Package 3"/>
    <m/>
    <s v=""/>
    <s v=""/>
    <s v=""/>
    <m/>
    <m/>
    <m/>
    <m/>
    <m/>
    <x v="3"/>
    <m/>
  </r>
  <r>
    <x v="0"/>
    <x v="3"/>
    <x v="0"/>
    <s v="ENERGY_CERTIFICATE_EST_INPUT"/>
    <s v="TIPO_INMUEBLE_COMERCIO_SERVICOS"/>
    <x v="0"/>
    <s v="1. Concluído"/>
    <s v="Fase I"/>
    <s v="Package 1"/>
    <s v="Package 3"/>
    <m/>
    <s v=""/>
    <s v=""/>
    <s v=""/>
    <m/>
    <m/>
    <m/>
    <m/>
    <m/>
    <x v="3"/>
    <m/>
  </r>
  <r>
    <x v="0"/>
    <x v="3"/>
    <x v="0"/>
    <s v="ENERGY_CERTIFICATE_EST_INPUT"/>
    <s v="NOME_CONSERVATORIA"/>
    <x v="0"/>
    <s v="1. Concluído"/>
    <s v="Fase I"/>
    <s v="Package 1"/>
    <s v="Package 3"/>
    <m/>
    <s v=""/>
    <s v=""/>
    <s v=""/>
    <m/>
    <m/>
    <m/>
    <m/>
    <m/>
    <x v="3"/>
    <m/>
  </r>
  <r>
    <x v="0"/>
    <x v="3"/>
    <x v="0"/>
    <s v="ENERGY_CERTIFICATE_EST_INPUT"/>
    <s v="COD_CONSERVATORIA"/>
    <x v="0"/>
    <s v="1. Concluído"/>
    <s v="Fase I"/>
    <s v="Package 1"/>
    <s v="Package 3"/>
    <m/>
    <s v=""/>
    <s v=""/>
    <s v=""/>
    <m/>
    <m/>
    <m/>
    <m/>
    <m/>
    <x v="3"/>
    <m/>
  </r>
  <r>
    <x v="0"/>
    <x v="3"/>
    <x v="0"/>
    <s v="ENERGY_CERTIFICATE_EST_INPUT"/>
    <s v="REGISTRO_CONSERVATORIA"/>
    <x v="0"/>
    <s v="1. Concluído"/>
    <s v="Fase I"/>
    <s v="Package 1"/>
    <s v="Package 3"/>
    <m/>
    <s v=""/>
    <s v=""/>
    <s v=""/>
    <m/>
    <m/>
    <m/>
    <m/>
    <m/>
    <x v="3"/>
    <m/>
  </r>
  <r>
    <x v="0"/>
    <x v="3"/>
    <x v="0"/>
    <s v="ENERGY_CERTIFICATE_EST_INPUT"/>
    <s v="ART_MATRICIAIS"/>
    <x v="0"/>
    <s v="1. Concluído"/>
    <s v="Fase I"/>
    <s v="Package 1"/>
    <s v="Package 3"/>
    <m/>
    <s v=""/>
    <s v=""/>
    <s v=""/>
    <m/>
    <m/>
    <m/>
    <m/>
    <m/>
    <x v="3"/>
    <m/>
  </r>
  <r>
    <x v="0"/>
    <x v="3"/>
    <x v="0"/>
    <s v="ENERGY_CERTIFICATE_EST_INPUT"/>
    <s v="FRACCAO_AUTONOMA"/>
    <x v="0"/>
    <s v="1. Concluído"/>
    <s v="Fase I"/>
    <s v="Package 1"/>
    <s v="Package 3"/>
    <m/>
    <s v=""/>
    <s v=""/>
    <s v=""/>
    <m/>
    <m/>
    <m/>
    <m/>
    <m/>
    <x v="3"/>
    <m/>
  </r>
  <r>
    <x v="0"/>
    <x v="3"/>
    <x v="0"/>
    <s v="ENERGY_CERTIFICATE_EST_INPUT"/>
    <s v="FINALIDADE_BEM"/>
    <x v="0"/>
    <s v="1. Concluído"/>
    <s v="Fase I"/>
    <s v="Package 1"/>
    <s v="Package 3"/>
    <m/>
    <s v=""/>
    <s v=""/>
    <s v=""/>
    <m/>
    <m/>
    <m/>
    <m/>
    <m/>
    <x v="3"/>
    <m/>
  </r>
  <r>
    <x v="0"/>
    <x v="3"/>
    <x v="0"/>
    <s v="ENERGY_CERTIFICATE_EST_INPUT"/>
    <s v="CLASS_GPT31"/>
    <x v="0"/>
    <s v="1. Concluído"/>
    <s v="Fase I"/>
    <s v="Package 1"/>
    <s v="Package 3"/>
    <m/>
    <s v=""/>
    <s v=""/>
    <s v=""/>
    <m/>
    <m/>
    <m/>
    <m/>
    <m/>
    <x v="3"/>
    <m/>
  </r>
  <r>
    <x v="0"/>
    <x v="3"/>
    <x v="0"/>
    <s v="ENERGY_CERTIFICATE_EST_INPUT"/>
    <s v="CLASS_STCLIM"/>
    <x v="0"/>
    <s v="1. Concluído"/>
    <s v="Fase I"/>
    <s v="Package 1"/>
    <s v="Package 3"/>
    <m/>
    <s v=""/>
    <s v=""/>
    <s v=""/>
    <m/>
    <m/>
    <m/>
    <m/>
    <m/>
    <x v="3"/>
    <m/>
  </r>
  <r>
    <x v="0"/>
    <x v="3"/>
    <x v="0"/>
    <s v="ENERGY_CERTIFICATE_EST_INPUT"/>
    <s v="CONF_STCLIM"/>
    <x v="0"/>
    <s v="1. Concluído"/>
    <s v="Fase I"/>
    <s v="Package 1"/>
    <s v="Package 3"/>
    <m/>
    <s v=""/>
    <s v=""/>
    <s v=""/>
    <m/>
    <m/>
    <m/>
    <m/>
    <m/>
    <x v="3"/>
    <m/>
  </r>
  <r>
    <x v="0"/>
    <x v="3"/>
    <x v="0"/>
    <s v="ENERGY_CERTIFICATE_EST_INPUT"/>
    <s v="CLASSE_ENERGETICA"/>
    <x v="0"/>
    <s v="1. Concluído"/>
    <s v="Fase I"/>
    <s v="Package 1"/>
    <s v="Package 3"/>
    <m/>
    <s v=""/>
    <s v=""/>
    <s v=""/>
    <m/>
    <m/>
    <m/>
    <m/>
    <m/>
    <x v="2"/>
    <m/>
  </r>
  <r>
    <x v="0"/>
    <x v="3"/>
    <x v="0"/>
    <s v="ENERGY_CERTIFICATE_EST_INPUT"/>
    <s v="FIABILIDAD"/>
    <x v="0"/>
    <s v="1. Concluído"/>
    <s v="Fase I"/>
    <s v="Package 1"/>
    <s v="Package 3"/>
    <m/>
    <s v=""/>
    <s v=""/>
    <s v=""/>
    <m/>
    <m/>
    <m/>
    <m/>
    <m/>
    <x v="2"/>
    <m/>
  </r>
  <r>
    <x v="0"/>
    <x v="3"/>
    <x v="0"/>
    <s v="ENERGY_CERTIFICATE_EST_INPUT"/>
    <s v="EMISSIONES"/>
    <x v="0"/>
    <s v="1. Concluído"/>
    <s v="Fase I"/>
    <s v="Package 1"/>
    <s v="Package 3"/>
    <m/>
    <s v=""/>
    <s v=""/>
    <s v=""/>
    <m/>
    <m/>
    <m/>
    <m/>
    <m/>
    <x v="2"/>
    <m/>
  </r>
  <r>
    <x v="0"/>
    <x v="3"/>
    <x v="0"/>
    <s v="ENERGY_CERTIFICATE_EST_INPUT"/>
    <s v="CONSUMOS"/>
    <x v="0"/>
    <s v="1. Concluído"/>
    <s v="Fase I"/>
    <s v="Package 1"/>
    <s v="Package 3"/>
    <m/>
    <s v=""/>
    <s v=""/>
    <s v=""/>
    <m/>
    <m/>
    <m/>
    <m/>
    <m/>
    <x v="2"/>
    <m/>
  </r>
  <r>
    <x v="0"/>
    <x v="3"/>
    <x v="0"/>
    <s v="ENERGY_CERTIFICATE_EST_INPUT"/>
    <s v="DATA_ENVIO"/>
    <x v="0"/>
    <s v="1. Concluído"/>
    <s v="Fase I"/>
    <s v="Package 1"/>
    <s v="Package 3"/>
    <m/>
    <s v=""/>
    <s v=""/>
    <s v=""/>
    <m/>
    <m/>
    <m/>
    <m/>
    <m/>
    <x v="2"/>
    <m/>
  </r>
  <r>
    <x v="0"/>
    <x v="0"/>
    <x v="0"/>
    <s v="PROPERTY_ENERGY_CERTIFICATE"/>
    <s v="EPC"/>
    <x v="3"/>
    <s v="2.1 Em Teste"/>
    <m/>
    <s v="Package 1"/>
    <s v="Package 3"/>
    <m/>
    <s v=""/>
    <s v=""/>
    <s v=""/>
    <m/>
    <m/>
    <m/>
    <m/>
    <m/>
    <x v="0"/>
    <m/>
  </r>
  <r>
    <x v="0"/>
    <x v="0"/>
    <x v="0"/>
    <s v="PROPERTY_ENERGY_CERTIFICATE"/>
    <s v="PRMRY_ENRGY_DMND_RFRNC_VL"/>
    <x v="0"/>
    <s v="1. Concluído"/>
    <m/>
    <m/>
    <s v="Package 3"/>
    <m/>
    <s v=""/>
    <s v=""/>
    <s v=""/>
    <m/>
    <m/>
    <m/>
    <m/>
    <m/>
    <x v="0"/>
    <m/>
  </r>
  <r>
    <x v="0"/>
    <x v="0"/>
    <x v="0"/>
    <s v="PROPERTY_ENERGY_CERTIFICATE"/>
    <s v="CARBON_EMISSION_VALUE_YEAR"/>
    <x v="3"/>
    <s v="2.1 Em Teste"/>
    <m/>
    <s v="Package 1"/>
    <s v="Package 3"/>
    <m/>
    <s v=""/>
    <s v=""/>
    <s v=""/>
    <m/>
    <m/>
    <m/>
    <m/>
    <m/>
    <x v="0"/>
    <m/>
  </r>
  <r>
    <x v="0"/>
    <x v="4"/>
    <x v="0"/>
    <s v="modesg_inp_risco_fisico_zipcode"/>
    <s v="cod_pais"/>
    <x v="0"/>
    <s v="1. Concluído"/>
    <m/>
    <s v="Package 2"/>
    <s v="Package 3"/>
    <m/>
    <s v=""/>
    <s v=""/>
    <s v=""/>
    <m/>
    <m/>
    <s v="Novo Projeto - Em especificação"/>
    <m/>
    <m/>
    <x v="1"/>
    <s v="HF"/>
  </r>
  <r>
    <x v="0"/>
    <x v="4"/>
    <x v="0"/>
    <s v="modesg_inp_risco_fisico_zipcode"/>
    <s v="localizacao"/>
    <x v="0"/>
    <s v="1. Concluído"/>
    <m/>
    <s v="Package 2"/>
    <s v="Package 3"/>
    <m/>
    <s v=""/>
    <s v=""/>
    <s v=""/>
    <m/>
    <m/>
    <s v="Novo Projeto - Em especificação"/>
    <m/>
    <m/>
    <x v="1"/>
    <s v="HF"/>
  </r>
  <r>
    <x v="0"/>
    <x v="4"/>
    <x v="0"/>
    <s v="modesg_inp_risco_fisico_zipcode"/>
    <s v="cod_nace_esg"/>
    <x v="0"/>
    <s v="1. Concluído"/>
    <m/>
    <s v="Package 2"/>
    <s v="Package 3"/>
    <m/>
    <s v=""/>
    <s v=""/>
    <s v=""/>
    <m/>
    <m/>
    <s v="Novo Projeto - Em especificação"/>
    <m/>
    <m/>
    <x v="1"/>
    <s v="HF"/>
  </r>
  <r>
    <x v="0"/>
    <x v="4"/>
    <x v="0"/>
    <s v="modesg_inp_risco_fisico_zipcode"/>
    <s v="flg_rsc_fsc_agd"/>
    <x v="0"/>
    <s v="1. Concluído"/>
    <m/>
    <s v="Package 2"/>
    <s v="Package 3"/>
    <m/>
    <s v=""/>
    <s v=""/>
    <s v=""/>
    <m/>
    <m/>
    <s v="Novo Projeto - Em especificação"/>
    <m/>
    <m/>
    <x v="1"/>
    <s v="HF"/>
  </r>
  <r>
    <x v="0"/>
    <x v="4"/>
    <x v="0"/>
    <s v="modesg_inp_risco_fisico_zipcode"/>
    <s v="flg_rsc_fsc_crnc"/>
    <x v="0"/>
    <s v="1. Concluído"/>
    <m/>
    <s v="Package 2"/>
    <s v="Package 3"/>
    <m/>
    <s v=""/>
    <s v=""/>
    <s v=""/>
    <m/>
    <m/>
    <s v="Novo Projeto - Em especificação"/>
    <m/>
    <m/>
    <x v="1"/>
    <s v="HF"/>
  </r>
  <r>
    <x v="0"/>
    <x v="2"/>
    <x v="0"/>
    <s v="modesg_out_bens_imoveis"/>
    <s v="flg_rsc_fsc_agd"/>
    <x v="0"/>
    <s v="1. Concluído"/>
    <m/>
    <s v="Package 2"/>
    <s v="Package 3"/>
    <m/>
    <s v=""/>
    <s v=""/>
    <s v=""/>
    <m/>
    <m/>
    <s v="Novo Projeto - Em especificação"/>
    <m/>
    <m/>
    <x v="0"/>
    <s v="HF"/>
  </r>
  <r>
    <x v="0"/>
    <x v="2"/>
    <x v="0"/>
    <s v="modesg_out_bens_imoveis"/>
    <s v="flg_rsc_fsc_crnc"/>
    <x v="0"/>
    <s v="1. Concluído"/>
    <m/>
    <s v="Package 2"/>
    <s v="Package 3"/>
    <m/>
    <s v=""/>
    <s v=""/>
    <s v=""/>
    <m/>
    <m/>
    <s v="Novo Projeto - Em especificação"/>
    <m/>
    <m/>
    <x v="0"/>
    <s v="HF"/>
  </r>
  <r>
    <x v="0"/>
    <x v="2"/>
    <x v="0"/>
    <s v="modesg_out_bens_imoveis"/>
    <s v="origem_flg_rsc_fsc_agd"/>
    <x v="0"/>
    <s v="1. Concluído"/>
    <m/>
    <s v="Package 2"/>
    <s v="Package 3"/>
    <m/>
    <s v=""/>
    <s v=""/>
    <s v=""/>
    <m/>
    <m/>
    <s v="Novo Projeto - Em especificação"/>
    <m/>
    <m/>
    <x v="0"/>
    <m/>
  </r>
  <r>
    <x v="0"/>
    <x v="2"/>
    <x v="0"/>
    <s v="modesg_out_bens_imoveis"/>
    <s v="origem_flg_rsc_fsc_crnc"/>
    <x v="0"/>
    <s v="1. Concluído"/>
    <m/>
    <s v="Package 2"/>
    <s v="Package 3"/>
    <m/>
    <s v=""/>
    <s v=""/>
    <s v=""/>
    <m/>
    <m/>
    <s v="Novo Projeto - Em especificação"/>
    <m/>
    <m/>
    <x v="0"/>
    <m/>
  </r>
  <r>
    <x v="0"/>
    <x v="2"/>
    <x v="0"/>
    <s v="modesg_out_empr_info_nfin"/>
    <s v="origem_scp1_emss"/>
    <x v="0"/>
    <s v="1. Concluído"/>
    <m/>
    <m/>
    <s v="Package 3"/>
    <m/>
    <s v=""/>
    <s v=""/>
    <s v=""/>
    <m/>
    <m/>
    <m/>
    <m/>
    <m/>
    <x v="0"/>
    <s v="HF"/>
  </r>
  <r>
    <x v="0"/>
    <x v="2"/>
    <x v="0"/>
    <s v="modesg_out_empr_info_nfin"/>
    <s v="origem_scp2_emss"/>
    <x v="0"/>
    <s v="1. Concluído"/>
    <m/>
    <m/>
    <s v="Package 3"/>
    <m/>
    <s v=""/>
    <s v=""/>
    <s v=""/>
    <m/>
    <m/>
    <m/>
    <m/>
    <m/>
    <x v="0"/>
    <s v="HF"/>
  </r>
  <r>
    <x v="0"/>
    <x v="2"/>
    <x v="0"/>
    <s v="modesg_out_empr_info_nfin"/>
    <s v="origem_scp3_emss"/>
    <x v="0"/>
    <s v="1. Concluído"/>
    <m/>
    <m/>
    <s v="Package 3"/>
    <m/>
    <s v=""/>
    <s v=""/>
    <s v=""/>
    <m/>
    <m/>
    <m/>
    <m/>
    <m/>
    <x v="0"/>
    <s v="HF"/>
  </r>
  <r>
    <x v="0"/>
    <x v="2"/>
    <x v="0"/>
    <s v="modesg_out_empr_info_nfin"/>
    <s v="scp1_emss"/>
    <x v="0"/>
    <s v="1. Concluído"/>
    <m/>
    <m/>
    <s v="Package 3"/>
    <m/>
    <s v=""/>
    <s v=""/>
    <s v=""/>
    <m/>
    <m/>
    <m/>
    <m/>
    <m/>
    <x v="0"/>
    <s v="HF"/>
  </r>
  <r>
    <x v="0"/>
    <x v="2"/>
    <x v="0"/>
    <s v="modesg_out_empr_info_nfin"/>
    <s v="scp2_emss"/>
    <x v="0"/>
    <s v="1. Concluído"/>
    <m/>
    <m/>
    <s v="Package 3"/>
    <m/>
    <s v=""/>
    <s v=""/>
    <s v=""/>
    <m/>
    <m/>
    <m/>
    <m/>
    <m/>
    <x v="0"/>
    <s v="HF"/>
  </r>
  <r>
    <x v="0"/>
    <x v="2"/>
    <x v="0"/>
    <s v="modesg_out_empr_info_nfin"/>
    <s v="scp3_emss"/>
    <x v="0"/>
    <s v="1. Concluído"/>
    <m/>
    <m/>
    <s v="Package 3"/>
    <m/>
    <s v=""/>
    <s v=""/>
    <s v=""/>
    <m/>
    <m/>
    <m/>
    <m/>
    <m/>
    <x v="0"/>
    <s v="HF"/>
  </r>
  <r>
    <x v="0"/>
    <x v="2"/>
    <x v="0"/>
    <s v="modesg_out_empr_info_nfin"/>
    <s v="divida_total"/>
    <x v="0"/>
    <s v="1. Concluído"/>
    <m/>
    <m/>
    <s v="Package 3"/>
    <m/>
    <s v=""/>
    <s v=""/>
    <s v=""/>
    <m/>
    <m/>
    <m/>
    <m/>
    <m/>
    <x v="0"/>
    <s v="HF"/>
  </r>
  <r>
    <x v="0"/>
    <x v="2"/>
    <x v="0"/>
    <s v="modesg_out_empr_info_nfin"/>
    <s v="capital_proprio"/>
    <x v="0"/>
    <s v="1. Concluído"/>
    <m/>
    <m/>
    <s v="Package 3"/>
    <m/>
    <s v=""/>
    <s v=""/>
    <s v=""/>
    <m/>
    <m/>
    <m/>
    <m/>
    <m/>
    <x v="0"/>
    <s v="HF"/>
  </r>
  <r>
    <x v="0"/>
    <x v="1"/>
    <x v="0"/>
    <s v="lt004_protection"/>
    <s v="flg_act_physcl_rsk"/>
    <x v="0"/>
    <s v="1. Concluído"/>
    <m/>
    <m/>
    <s v="Package 3"/>
    <m/>
    <s v=""/>
    <s v=""/>
    <s v=""/>
    <m/>
    <m/>
    <m/>
    <m/>
    <m/>
    <x v="0"/>
    <m/>
  </r>
  <r>
    <x v="0"/>
    <x v="1"/>
    <x v="0"/>
    <s v="lt004_protection"/>
    <s v="flg_chrnc_physcl_rsk"/>
    <x v="0"/>
    <s v="1. Concluído"/>
    <m/>
    <m/>
    <s v="Package 3"/>
    <m/>
    <s v=""/>
    <s v=""/>
    <s v=""/>
    <m/>
    <m/>
    <m/>
    <m/>
    <m/>
    <x v="0"/>
    <m/>
  </r>
  <r>
    <x v="0"/>
    <x v="2"/>
    <x v="0"/>
    <s v="modesg_out_empr_info_nfin"/>
    <s v="cod_nace_esg"/>
    <x v="3"/>
    <s v="2.1 Em Teste"/>
    <m/>
    <s v="Package 1"/>
    <s v="Package 4"/>
    <m/>
    <s v=""/>
    <s v=""/>
    <s v=""/>
    <m/>
    <m/>
    <m/>
    <m/>
    <m/>
    <x v="0"/>
    <s v="JB"/>
  </r>
  <r>
    <x v="0"/>
    <x v="2"/>
    <x v="0"/>
    <s v="modesg_out_empr_info_nfin"/>
    <s v="flg_rsc_fsc_agd"/>
    <x v="3"/>
    <s v="2.1 Em Teste"/>
    <m/>
    <s v="Package 2"/>
    <s v="Package 4"/>
    <m/>
    <s v=""/>
    <s v=""/>
    <s v=""/>
    <m/>
    <m/>
    <s v="Novo Projeto - Em especificação"/>
    <m/>
    <m/>
    <x v="4"/>
    <s v="HF"/>
  </r>
  <r>
    <x v="0"/>
    <x v="2"/>
    <x v="0"/>
    <s v="modesg_out_empr_info_nfin"/>
    <s v="flg_rsc_fsc_crnc"/>
    <x v="3"/>
    <s v="2.1 Em Teste"/>
    <m/>
    <s v="Package 2"/>
    <s v="Package 4"/>
    <m/>
    <s v=""/>
    <s v=""/>
    <s v=""/>
    <m/>
    <m/>
    <s v="Novo Projeto - Em especificação"/>
    <m/>
    <m/>
    <x v="4"/>
    <s v="HF"/>
  </r>
  <r>
    <x v="0"/>
    <x v="2"/>
    <x v="0"/>
    <s v="modesg_out_empr_info_nfin"/>
    <s v="origem_flg_rsc_fsc_agd"/>
    <x v="3"/>
    <s v="2.1 Em Teste"/>
    <m/>
    <s v="Package 2"/>
    <s v="Package 4"/>
    <m/>
    <s v=""/>
    <s v=""/>
    <s v=""/>
    <m/>
    <m/>
    <s v="Novo Projeto - Em especificação"/>
    <m/>
    <m/>
    <x v="4"/>
    <s v="HF"/>
  </r>
  <r>
    <x v="0"/>
    <x v="2"/>
    <x v="0"/>
    <s v="modesg_out_empr_info_nfin"/>
    <s v="origem_flg_rsc_fsc_crnc"/>
    <x v="3"/>
    <s v="2.1 Em Teste"/>
    <m/>
    <s v="Package 2"/>
    <s v="Package 4"/>
    <m/>
    <s v=""/>
    <s v=""/>
    <s v=""/>
    <m/>
    <m/>
    <s v="Novo Projeto - Em especificação"/>
    <m/>
    <m/>
    <x v="4"/>
    <s v="HF"/>
  </r>
  <r>
    <x v="0"/>
    <x v="0"/>
    <x v="0"/>
    <s v="PROPERTY_ENERGY_CERTIFICATE"/>
    <s v="EP_SCORE"/>
    <x v="2"/>
    <s v="4. Validação EF"/>
    <m/>
    <s v="Package 6"/>
    <s v="Package 5"/>
    <m/>
    <s v=""/>
    <s v=""/>
    <s v=""/>
    <m/>
    <m/>
    <m/>
    <m/>
    <m/>
    <x v="0"/>
    <m/>
  </r>
  <r>
    <x v="0"/>
    <x v="0"/>
    <x v="0"/>
    <s v="PROPERTY_ENERGY_CERTIFICATE"/>
    <s v="ENERGY_CONSUMPTION_VALUE_YEAR"/>
    <x v="2"/>
    <s v="4. Validação EF"/>
    <m/>
    <s v="Package 6"/>
    <s v="Package 5"/>
    <m/>
    <s v=""/>
    <s v=""/>
    <s v=""/>
    <m/>
    <m/>
    <m/>
    <m/>
    <m/>
    <x v="0"/>
    <m/>
  </r>
  <r>
    <x v="0"/>
    <x v="4"/>
    <x v="0"/>
    <s v="modesg_param_sfics_taxon_europeia"/>
    <s v="cod_regra"/>
    <x v="1"/>
    <s v="6. Em implementação "/>
    <m/>
    <m/>
    <s v="Package 5"/>
    <m/>
    <s v=""/>
    <s v=""/>
    <s v=""/>
    <m/>
    <m/>
    <m/>
    <m/>
    <m/>
    <x v="0"/>
    <s v="RC"/>
  </r>
  <r>
    <x v="0"/>
    <x v="4"/>
    <x v="0"/>
    <s v="modesg_param_sfics_taxon_europeia"/>
    <s v="nivel"/>
    <x v="1"/>
    <s v="6. Em implementação "/>
    <m/>
    <m/>
    <s v="Package 5"/>
    <m/>
    <s v=""/>
    <s v=""/>
    <s v=""/>
    <m/>
    <m/>
    <m/>
    <m/>
    <m/>
    <x v="0"/>
    <s v="RC"/>
  </r>
  <r>
    <x v="0"/>
    <x v="4"/>
    <x v="0"/>
    <s v="modesg_param_sfics_taxon_europeia"/>
    <s v="grupo_regra"/>
    <x v="1"/>
    <s v="6. Em implementação "/>
    <m/>
    <m/>
    <s v="Package 5"/>
    <m/>
    <s v=""/>
    <s v=""/>
    <s v=""/>
    <m/>
    <m/>
    <m/>
    <m/>
    <m/>
    <x v="5"/>
    <m/>
  </r>
  <r>
    <x v="0"/>
    <x v="4"/>
    <x v="0"/>
    <s v="modesg_param_sfics_taxon_europeia"/>
    <s v="dscrc"/>
    <x v="1"/>
    <s v="6. Em implementação "/>
    <m/>
    <m/>
    <s v="Package 5"/>
    <m/>
    <s v=""/>
    <s v=""/>
    <s v=""/>
    <m/>
    <m/>
    <m/>
    <m/>
    <m/>
    <x v="0"/>
    <s v="RC"/>
  </r>
  <r>
    <x v="0"/>
    <x v="4"/>
    <x v="0"/>
    <s v="modesg_param_sfics_taxon_europeia"/>
    <s v="comite"/>
    <x v="1"/>
    <s v="6. Em implementação "/>
    <m/>
    <m/>
    <s v="Package 5"/>
    <m/>
    <s v=""/>
    <s v=""/>
    <s v=""/>
    <m/>
    <m/>
    <m/>
    <m/>
    <m/>
    <x v="0"/>
    <s v="RC"/>
  </r>
  <r>
    <x v="0"/>
    <x v="4"/>
    <x v="0"/>
    <s v="modesg_param_sfics_taxon_europeia"/>
    <s v="data_aprvc"/>
    <x v="1"/>
    <s v="6. Em implementação "/>
    <m/>
    <m/>
    <s v="Package 5"/>
    <m/>
    <s v=""/>
    <s v=""/>
    <s v=""/>
    <m/>
    <m/>
    <m/>
    <m/>
    <m/>
    <x v="0"/>
    <s v="RC"/>
  </r>
  <r>
    <x v="0"/>
    <x v="4"/>
    <x v="0"/>
    <s v="modesg_param_sfics_taxon_europeia"/>
    <s v="data_inicial"/>
    <x v="1"/>
    <s v="6. Em implementação "/>
    <m/>
    <m/>
    <s v="Package 5"/>
    <m/>
    <s v=""/>
    <s v=""/>
    <s v=""/>
    <m/>
    <m/>
    <m/>
    <m/>
    <m/>
    <x v="0"/>
    <s v="RC"/>
  </r>
  <r>
    <x v="0"/>
    <x v="4"/>
    <x v="0"/>
    <s v="modesg_param_sfics_taxon_europeia"/>
    <s v="data_final"/>
    <x v="1"/>
    <s v="6. Em implementação "/>
    <m/>
    <m/>
    <s v="Package 5"/>
    <m/>
    <s v=""/>
    <s v=""/>
    <s v=""/>
    <m/>
    <m/>
    <m/>
    <m/>
    <m/>
    <x v="0"/>
    <s v="RC"/>
  </r>
  <r>
    <x v="0"/>
    <x v="4"/>
    <x v="0"/>
    <s v="modesg_param_sfics_taxon_europeia"/>
    <s v="zcliente"/>
    <x v="1"/>
    <s v="6. Em implementação "/>
    <m/>
    <m/>
    <s v="Package 5"/>
    <m/>
    <s v=""/>
    <s v=""/>
    <s v=""/>
    <m/>
    <m/>
    <m/>
    <m/>
    <m/>
    <x v="0"/>
    <s v="RC"/>
  </r>
  <r>
    <x v="0"/>
    <x v="4"/>
    <x v="0"/>
    <s v="modesg_param_sfics_taxon_europeia"/>
    <s v="cempcta"/>
    <x v="1"/>
    <s v="6. Em implementação "/>
    <m/>
    <m/>
    <s v="Package 5"/>
    <m/>
    <s v=""/>
    <s v=""/>
    <s v=""/>
    <m/>
    <m/>
    <m/>
    <m/>
    <m/>
    <x v="3"/>
    <s v="RC"/>
  </r>
  <r>
    <x v="0"/>
    <x v="4"/>
    <x v="0"/>
    <s v="modesg_param_sfics_taxon_europeia"/>
    <s v="ckbalcao"/>
    <x v="1"/>
    <s v="6. Em implementação "/>
    <m/>
    <m/>
    <s v="Package 5"/>
    <m/>
    <s v=""/>
    <s v=""/>
    <s v=""/>
    <m/>
    <m/>
    <m/>
    <m/>
    <m/>
    <x v="0"/>
    <s v="RC"/>
  </r>
  <r>
    <x v="0"/>
    <x v="4"/>
    <x v="0"/>
    <s v="modesg_param_sfics_taxon_europeia"/>
    <s v="cknumcta"/>
    <x v="1"/>
    <s v="6. Em implementação "/>
    <m/>
    <m/>
    <s v="Package 5"/>
    <m/>
    <s v=""/>
    <s v=""/>
    <s v=""/>
    <m/>
    <m/>
    <m/>
    <m/>
    <m/>
    <x v="0"/>
    <s v="RC"/>
  </r>
  <r>
    <x v="0"/>
    <x v="4"/>
    <x v="0"/>
    <s v="modesg_param_sfics_taxon_europeia"/>
    <s v="zdeposit"/>
    <x v="1"/>
    <s v="6. Em implementação "/>
    <m/>
    <m/>
    <s v="Package 5"/>
    <m/>
    <s v=""/>
    <s v=""/>
    <s v=""/>
    <m/>
    <m/>
    <m/>
    <m/>
    <m/>
    <x v="0"/>
    <s v="RC"/>
  </r>
  <r>
    <x v="0"/>
    <x v="4"/>
    <x v="0"/>
    <s v="modesg_param_sfics_taxon_europeia"/>
    <s v="ckmetamis"/>
    <x v="1"/>
    <s v="6. Em implementação "/>
    <m/>
    <m/>
    <s v="Package 5"/>
    <m/>
    <s v=""/>
    <s v=""/>
    <s v=""/>
    <m/>
    <m/>
    <m/>
    <m/>
    <m/>
    <x v="0"/>
    <s v="RC"/>
  </r>
  <r>
    <x v="0"/>
    <x v="4"/>
    <x v="0"/>
    <s v="modesg_param_sfics_taxon_europeia"/>
    <s v="ckprodmi"/>
    <x v="1"/>
    <s v="6. Em implementação "/>
    <m/>
    <m/>
    <s v="Package 5"/>
    <m/>
    <s v=""/>
    <s v=""/>
    <s v=""/>
    <m/>
    <m/>
    <m/>
    <m/>
    <m/>
    <x v="0"/>
    <s v="RC"/>
  </r>
  <r>
    <x v="0"/>
    <x v="4"/>
    <x v="0"/>
    <s v="modesg_param_sfics_taxon_europeia"/>
    <s v="cmetanseg"/>
    <x v="1"/>
    <s v="6. Em implementação "/>
    <m/>
    <m/>
    <s v="Package 5"/>
    <m/>
    <s v=""/>
    <s v=""/>
    <s v=""/>
    <m/>
    <m/>
    <m/>
    <m/>
    <m/>
    <x v="0"/>
    <s v="RC"/>
  </r>
  <r>
    <x v="0"/>
    <x v="4"/>
    <x v="0"/>
    <s v="modesg_param_sfics_taxon_europeia"/>
    <s v="epc"/>
    <x v="1"/>
    <s v="6. Em implementação "/>
    <m/>
    <m/>
    <s v="Package 5"/>
    <m/>
    <s v=""/>
    <s v=""/>
    <s v=""/>
    <m/>
    <m/>
    <m/>
    <m/>
    <m/>
    <x v="3"/>
    <s v="RC"/>
  </r>
  <r>
    <x v="0"/>
    <x v="4"/>
    <x v="0"/>
    <s v="modesg_param_sfics_taxon_europeia"/>
    <s v="ambito"/>
    <x v="1"/>
    <s v="6. Em implementação "/>
    <m/>
    <m/>
    <s v="Package 5"/>
    <m/>
    <s v=""/>
    <s v=""/>
    <s v=""/>
    <m/>
    <m/>
    <m/>
    <m/>
    <m/>
    <x v="0"/>
    <s v="RC"/>
  </r>
  <r>
    <x v="0"/>
    <x v="4"/>
    <x v="0"/>
    <s v="modesg_param_sfics_taxon_europeia"/>
    <s v="nome_ctgr_sfics"/>
    <x v="1"/>
    <s v="6. Em implementação "/>
    <m/>
    <m/>
    <s v="Package 5"/>
    <m/>
    <s v=""/>
    <s v=""/>
    <s v=""/>
    <m/>
    <m/>
    <m/>
    <m/>
    <m/>
    <x v="0"/>
    <s v="RC"/>
  </r>
  <r>
    <x v="0"/>
    <x v="4"/>
    <x v="0"/>
    <s v="modesg_param_sfics_taxon_europeia"/>
    <s v="montante_pndrc"/>
    <x v="1"/>
    <s v="6. Em implementação "/>
    <m/>
    <m/>
    <s v="Package 5"/>
    <m/>
    <s v=""/>
    <s v=""/>
    <s v=""/>
    <m/>
    <m/>
    <m/>
    <m/>
    <m/>
    <x v="3"/>
    <s v="RC"/>
  </r>
  <r>
    <x v="0"/>
    <x v="4"/>
    <x v="0"/>
    <s v="modesg_param_sfics_taxon_europeia"/>
    <s v="contraparte"/>
    <x v="1"/>
    <s v="6. Em implementação "/>
    <m/>
    <m/>
    <s v="Package 5"/>
    <m/>
    <s v=""/>
    <s v=""/>
    <s v=""/>
    <m/>
    <m/>
    <m/>
    <m/>
    <m/>
    <x v="3"/>
    <s v="RC"/>
  </r>
  <r>
    <x v="0"/>
    <x v="4"/>
    <x v="0"/>
    <s v="modesg_param_sfics_taxon_europeia"/>
    <s v="flag_project_finance"/>
    <x v="1"/>
    <s v="6. Em implementação "/>
    <m/>
    <m/>
    <s v="Package 5"/>
    <m/>
    <s v=""/>
    <s v=""/>
    <s v=""/>
    <m/>
    <m/>
    <m/>
    <m/>
    <m/>
    <x v="3"/>
    <s v="RC"/>
  </r>
  <r>
    <x v="0"/>
    <x v="4"/>
    <x v="0"/>
    <s v="modesg_param_sfics_taxon_europeia"/>
    <s v="cgarante_bem"/>
    <x v="1"/>
    <s v="6. Em implementação "/>
    <m/>
    <m/>
    <s v="Package 5"/>
    <m/>
    <s v=""/>
    <s v=""/>
    <s v=""/>
    <m/>
    <m/>
    <m/>
    <m/>
    <m/>
    <x v="3"/>
    <s v="RC"/>
  </r>
  <r>
    <x v="0"/>
    <x v="4"/>
    <x v="0"/>
    <s v="modesg_param_sfics_taxon_europeia"/>
    <s v="prdt_sprdt"/>
    <x v="1"/>
    <s v="6. Em implementação "/>
    <m/>
    <m/>
    <s v="Package 5"/>
    <m/>
    <s v=""/>
    <s v=""/>
    <s v=""/>
    <m/>
    <m/>
    <m/>
    <m/>
    <m/>
    <x v="3"/>
    <s v="RC"/>
  </r>
  <r>
    <x v="0"/>
    <x v="4"/>
    <x v="0"/>
    <s v="modesg_param_sfics_taxon_europeia"/>
    <s v="flg_csrd"/>
    <x v="1"/>
    <s v="6. Em implementação "/>
    <m/>
    <m/>
    <s v="Package 5"/>
    <m/>
    <s v=""/>
    <s v=""/>
    <s v=""/>
    <m/>
    <m/>
    <m/>
    <m/>
    <m/>
    <x v="3"/>
    <s v="RC"/>
  </r>
  <r>
    <x v="0"/>
    <x v="4"/>
    <x v="0"/>
    <s v="modesg_param_sfics_taxon_europeia"/>
    <s v="combustivel"/>
    <x v="1"/>
    <s v="6. Em implementação "/>
    <m/>
    <m/>
    <s v="Package 5"/>
    <m/>
    <s v=""/>
    <s v=""/>
    <s v=""/>
    <m/>
    <m/>
    <m/>
    <m/>
    <m/>
    <x v="3"/>
    <s v="RC"/>
  </r>
  <r>
    <x v="0"/>
    <x v="4"/>
    <x v="0"/>
    <s v="modesg_param_sfics_taxon_europeia"/>
    <s v="co2"/>
    <x v="1"/>
    <s v="6. Em implementação "/>
    <m/>
    <m/>
    <s v="Package 5"/>
    <m/>
    <s v=""/>
    <s v=""/>
    <s v=""/>
    <m/>
    <m/>
    <m/>
    <m/>
    <m/>
    <x v="3"/>
    <s v="RC"/>
  </r>
  <r>
    <x v="0"/>
    <x v="4"/>
    <x v="0"/>
    <s v="modesg_param_sfics_taxon_europeia"/>
    <s v="cfamilia"/>
    <x v="1"/>
    <s v="6. Em implementação "/>
    <m/>
    <m/>
    <s v="Package 5"/>
    <m/>
    <s v=""/>
    <s v=""/>
    <s v=""/>
    <m/>
    <m/>
    <m/>
    <m/>
    <m/>
    <x v="3"/>
    <s v="RC"/>
  </r>
  <r>
    <x v="0"/>
    <x v="4"/>
    <x v="0"/>
    <s v="modesg_param_sfics_taxon_europeia"/>
    <s v="flg_rsc_fsc_crnc"/>
    <x v="1"/>
    <s v="6. Em implementação "/>
    <m/>
    <m/>
    <s v="Package 5"/>
    <m/>
    <s v=""/>
    <s v=""/>
    <s v=""/>
    <m/>
    <m/>
    <m/>
    <m/>
    <m/>
    <x v="0"/>
    <s v="RC"/>
  </r>
  <r>
    <x v="0"/>
    <x v="4"/>
    <x v="0"/>
    <s v="modesg_param_sfics_taxon_europeia"/>
    <s v="flg_rsc_fsc_agd"/>
    <x v="1"/>
    <s v="6. Em implementação "/>
    <m/>
    <m/>
    <s v="Package 5"/>
    <m/>
    <s v=""/>
    <s v=""/>
    <s v=""/>
    <m/>
    <m/>
    <m/>
    <m/>
    <m/>
    <x v="0"/>
    <s v="RC"/>
  </r>
  <r>
    <x v="0"/>
    <x v="4"/>
    <x v="0"/>
    <s v="modesg_param_sfics_taxon_europeia"/>
    <s v="property_purpose_code"/>
    <x v="1"/>
    <s v="6. Em implementação "/>
    <m/>
    <m/>
    <s v="Package 5"/>
    <m/>
    <s v=""/>
    <s v=""/>
    <s v=""/>
    <m/>
    <m/>
    <m/>
    <m/>
    <m/>
    <x v="3"/>
    <s v="RC"/>
  </r>
  <r>
    <x v="0"/>
    <x v="4"/>
    <x v="0"/>
    <s v="modesg_param_sfics_taxon_europeia"/>
    <s v="dabertur"/>
    <x v="1"/>
    <s v="6. Em implementação "/>
    <m/>
    <m/>
    <s v="Package 5"/>
    <m/>
    <s v=""/>
    <s v=""/>
    <s v=""/>
    <m/>
    <m/>
    <m/>
    <m/>
    <m/>
    <x v="2"/>
    <s v="RC"/>
  </r>
  <r>
    <x v="0"/>
    <x v="4"/>
    <x v="0"/>
    <s v="modesg_param_sfics_taxon_europeia"/>
    <s v="tipo_eqp"/>
    <x v="1"/>
    <s v="6. Em implementação "/>
    <m/>
    <m/>
    <s v="Package 5"/>
    <m/>
    <s v=""/>
    <s v=""/>
    <s v=""/>
    <m/>
    <m/>
    <m/>
    <m/>
    <m/>
    <x v="2"/>
    <s v="RC"/>
  </r>
  <r>
    <x v="0"/>
    <x v="4"/>
    <x v="0"/>
    <s v="modesg_param_sfics_taxon_europeia"/>
    <s v="construction_year"/>
    <x v="1"/>
    <s v="6. Em implementação "/>
    <m/>
    <m/>
    <s v="Package 5"/>
    <m/>
    <s v=""/>
    <s v=""/>
    <s v=""/>
    <m/>
    <m/>
    <m/>
    <m/>
    <m/>
    <x v="0"/>
    <s v="RC"/>
  </r>
  <r>
    <x v="0"/>
    <x v="4"/>
    <x v="0"/>
    <s v="modesg_param_sfics_taxon_europeia"/>
    <s v="ref_date"/>
    <x v="1"/>
    <s v="6. Em implementação "/>
    <m/>
    <m/>
    <s v="Package 5"/>
    <m/>
    <s v=""/>
    <s v=""/>
    <s v=""/>
    <m/>
    <m/>
    <m/>
    <m/>
    <m/>
    <x v="3"/>
    <s v="RC"/>
  </r>
  <r>
    <x v="0"/>
    <x v="4"/>
    <x v="0"/>
    <s v="modesg_param_sfics_taxon_europeia"/>
    <s v="cfinalidad"/>
    <x v="1"/>
    <s v="6. Em implementação "/>
    <m/>
    <m/>
    <s v="Package 5"/>
    <m/>
    <m/>
    <m/>
    <m/>
    <m/>
    <m/>
    <m/>
    <m/>
    <m/>
    <x v="0"/>
    <m/>
  </r>
  <r>
    <x v="0"/>
    <x v="4"/>
    <x v="0"/>
    <s v="modesg_param_sfics_taxon_europeia"/>
    <s v="sst_indctr_aux"/>
    <x v="1"/>
    <s v="6. Em implementação "/>
    <m/>
    <m/>
    <s v="Package 5"/>
    <m/>
    <s v=""/>
    <s v=""/>
    <s v=""/>
    <m/>
    <m/>
    <m/>
    <m/>
    <m/>
    <x v="5"/>
    <m/>
  </r>
  <r>
    <x v="0"/>
    <x v="4"/>
    <x v="0"/>
    <s v="modesg_param_sfics_taxon_europeia"/>
    <s v="quality_score"/>
    <x v="1"/>
    <s v="6. Em implementação "/>
    <m/>
    <m/>
    <s v="Package 5"/>
    <m/>
    <s v=""/>
    <s v=""/>
    <s v=""/>
    <m/>
    <m/>
    <m/>
    <m/>
    <m/>
    <x v="3"/>
    <s v="RC"/>
  </r>
  <r>
    <x v="0"/>
    <x v="4"/>
    <x v="0"/>
    <s v="modesg_param_sfics_taxon_europeia"/>
    <s v="primary_energy_req_value"/>
    <x v="1"/>
    <s v="6. Em implementação "/>
    <m/>
    <m/>
    <s v="Package 5"/>
    <m/>
    <s v=""/>
    <s v=""/>
    <s v=""/>
    <m/>
    <m/>
    <m/>
    <m/>
    <m/>
    <x v="0"/>
    <s v="RC"/>
  </r>
  <r>
    <x v="0"/>
    <x v="4"/>
    <x v="0"/>
    <s v="modesg_param_sfics_taxon_europeia"/>
    <s v="net_floor_area"/>
    <x v="1"/>
    <s v="6. Em implementação "/>
    <m/>
    <m/>
    <s v="Package 5"/>
    <m/>
    <s v=""/>
    <s v=""/>
    <s v=""/>
    <m/>
    <m/>
    <m/>
    <m/>
    <m/>
    <x v="0"/>
    <s v="RC"/>
  </r>
  <r>
    <x v="0"/>
    <x v="4"/>
    <x v="0"/>
    <s v="modesg_param_sfics_taxon_europeia"/>
    <s v="nome_purpose_esg_nalinh_tax"/>
    <x v="1"/>
    <s v="6. Em implementação "/>
    <m/>
    <m/>
    <s v="Package 5"/>
    <m/>
    <s v=""/>
    <s v=""/>
    <s v=""/>
    <m/>
    <m/>
    <m/>
    <m/>
    <m/>
    <x v="2"/>
    <s v="RC"/>
  </r>
  <r>
    <x v="0"/>
    <x v="4"/>
    <x v="0"/>
    <s v="modesg_param_sfics_taxon_europeia"/>
    <s v="nome_purpose_esg_alinh_tax"/>
    <x v="1"/>
    <s v="6. Em implementação "/>
    <m/>
    <m/>
    <s v="Package 5"/>
    <m/>
    <s v=""/>
    <s v=""/>
    <s v=""/>
    <m/>
    <m/>
    <m/>
    <m/>
    <m/>
    <x v="3"/>
    <s v="RC"/>
  </r>
  <r>
    <x v="0"/>
    <x v="4"/>
    <x v="0"/>
    <s v="modesg_param_sfics_taxon_europeia"/>
    <s v="nome_general_specific_purpose"/>
    <x v="1"/>
    <s v="6. Em implementação "/>
    <m/>
    <m/>
    <s v="Package 5"/>
    <m/>
    <s v=""/>
    <s v=""/>
    <s v=""/>
    <m/>
    <m/>
    <m/>
    <m/>
    <m/>
    <x v="0"/>
    <s v="RC"/>
  </r>
  <r>
    <x v="0"/>
    <x v="4"/>
    <x v="0"/>
    <s v="modesg_param_sfics_taxon_europeia"/>
    <s v="nome_specific_eligible"/>
    <x v="1"/>
    <s v="6. Em implementação "/>
    <m/>
    <m/>
    <s v="Package 5"/>
    <m/>
    <s v=""/>
    <s v=""/>
    <s v=""/>
    <m/>
    <m/>
    <m/>
    <m/>
    <m/>
    <x v="0"/>
    <s v="RC"/>
  </r>
  <r>
    <x v="0"/>
    <x v="4"/>
    <x v="0"/>
    <s v="modesg_param_sfics_taxon_europeia"/>
    <s v="nome_specific_sustainable"/>
    <x v="1"/>
    <s v="6. Em implementação "/>
    <m/>
    <m/>
    <s v="Package 5"/>
    <m/>
    <s v=""/>
    <s v=""/>
    <s v=""/>
    <m/>
    <m/>
    <m/>
    <m/>
    <m/>
    <x v="0"/>
    <s v="RC"/>
  </r>
  <r>
    <x v="0"/>
    <x v="1"/>
    <x v="0"/>
    <s v="lt006_instr_prot"/>
    <s v="prtctn_allctd_vl"/>
    <x v="1"/>
    <s v="6. Em implementação "/>
    <m/>
    <s v="Package 2"/>
    <s v="Package 5"/>
    <m/>
    <s v=""/>
    <s v=""/>
    <s v=""/>
    <m/>
    <m/>
    <s v="Novo Projeto - Em especificação"/>
    <m/>
    <m/>
    <x v="0"/>
    <s v="JB - Falar com SB"/>
  </r>
  <r>
    <x v="0"/>
    <x v="1"/>
    <x v="0"/>
    <s v="lt003_entity"/>
    <s v="esg_sbsctr"/>
    <x v="1"/>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1"/>
    <s v="6. Em implementação "/>
    <m/>
    <s v="Package 6"/>
    <s v="Package 9"/>
    <m/>
    <s v=""/>
    <s v=""/>
    <s v=""/>
    <d v="2024-10-28T00:00:00"/>
    <m/>
    <s v="Novo projeto - Para testar"/>
    <m/>
    <m/>
    <x v="0"/>
    <s v="HF"/>
  </r>
  <r>
    <x v="0"/>
    <x v="1"/>
    <x v="0"/>
    <s v="lt002_instrument"/>
    <s v="mthd_usd_instrmnt_scp_2"/>
    <x v="1"/>
    <s v="6. Em implementação "/>
    <m/>
    <s v="Package 6"/>
    <s v="Package 9"/>
    <m/>
    <s v=""/>
    <s v=""/>
    <s v=""/>
    <d v="2024-10-28T00:00:00"/>
    <m/>
    <s v="Novo projeto - Para testar"/>
    <m/>
    <m/>
    <x v="0"/>
    <s v="HF"/>
  </r>
  <r>
    <x v="0"/>
    <x v="1"/>
    <x v="0"/>
    <s v="lt002_instrument"/>
    <s v="mthd_usd_instrmnt_scp_3"/>
    <x v="1"/>
    <s v="6. Em implementação "/>
    <m/>
    <s v="Package 6"/>
    <s v="Package 9"/>
    <m/>
    <s v=""/>
    <s v=""/>
    <s v=""/>
    <d v="2024-10-28T00:00:00"/>
    <m/>
    <s v="Novo projeto - Para testar"/>
    <m/>
    <m/>
    <x v="0"/>
    <s v="HF"/>
  </r>
  <r>
    <x v="0"/>
    <x v="1"/>
    <x v="0"/>
    <s v="lt007_instr_activity"/>
    <s v="sstnbl_indctr"/>
    <x v="0"/>
    <s v="1. Concluído"/>
    <m/>
    <s v="Package 5"/>
    <s v="Package 9"/>
    <m/>
    <s v=""/>
    <s v=""/>
    <s v=""/>
    <d v="2024-10-28T00:00:00"/>
    <m/>
    <s v="Projeto Anterior - Especificação"/>
    <m/>
    <m/>
    <x v="0"/>
    <s v="RC"/>
  </r>
  <r>
    <x v="0"/>
    <x v="1"/>
    <x v="0"/>
    <s v="lt007_instr_activity"/>
    <s v="sstnbl_ctgry"/>
    <x v="1"/>
    <s v="6. Em implementação "/>
    <m/>
    <s v="Package 5"/>
    <s v="Package 9"/>
    <m/>
    <s v=""/>
    <s v=""/>
    <s v=""/>
    <d v="2024-10-28T00:00:00"/>
    <m/>
    <s v="Projeto Anterior - Especificação"/>
    <m/>
    <m/>
    <x v="0"/>
    <s v="RC"/>
  </r>
  <r>
    <x v="0"/>
    <x v="4"/>
    <x v="1"/>
    <s v="modesg_param_sfics_taxon_europeia"/>
    <s v="n.a."/>
    <x v="1"/>
    <s v="6. Em implementação "/>
    <m/>
    <m/>
    <s v="Package X"/>
    <m/>
    <s v=""/>
    <s v=""/>
    <s v=""/>
    <m/>
    <m/>
    <m/>
    <m/>
    <m/>
    <x v="0"/>
    <s v="RC"/>
  </r>
  <r>
    <x v="0"/>
    <x v="2"/>
    <x v="1"/>
    <s v="modesg_out_sfics_taxon_europeia"/>
    <s v="n.a."/>
    <x v="1"/>
    <s v="6. Em implementação "/>
    <m/>
    <m/>
    <s v="Package X"/>
    <m/>
    <s v=""/>
    <s v=""/>
    <s v=""/>
    <m/>
    <m/>
    <m/>
    <m/>
    <m/>
    <x v="0"/>
    <s v="RC"/>
  </r>
  <r>
    <x v="0"/>
    <x v="2"/>
    <x v="0"/>
    <s v="modesg_out_sfics_taxon_europeia"/>
    <s v="origem"/>
    <x v="4"/>
    <s v="0. Cancelado"/>
    <m/>
    <m/>
    <s v="Package X"/>
    <m/>
    <s v=""/>
    <s v=""/>
    <s v=""/>
    <m/>
    <m/>
    <m/>
    <m/>
    <m/>
    <x v="0"/>
    <m/>
  </r>
  <r>
    <x v="0"/>
    <x v="1"/>
    <x v="0"/>
    <s v="lt003_entity"/>
    <s v="nace_esg"/>
    <x v="1"/>
    <s v="6. Em implementação "/>
    <m/>
    <m/>
    <s v="Package X"/>
    <m/>
    <s v=""/>
    <s v=""/>
    <s v=""/>
    <m/>
    <m/>
    <m/>
    <m/>
    <m/>
    <x v="0"/>
    <s v="JB"/>
  </r>
  <r>
    <x v="0"/>
    <x v="1"/>
    <x v="0"/>
    <s v="lt003_entity"/>
    <s v="flg_act_physcl_rsk"/>
    <x v="1"/>
    <s v="6. Em implementação "/>
    <m/>
    <m/>
    <s v="Package X"/>
    <m/>
    <s v=""/>
    <s v=""/>
    <s v=""/>
    <m/>
    <m/>
    <m/>
    <m/>
    <m/>
    <x v="0"/>
    <s v="HF"/>
  </r>
  <r>
    <x v="0"/>
    <x v="1"/>
    <x v="0"/>
    <s v="lt003_entity"/>
    <s v="flg_chrnc_physcl_rsk"/>
    <x v="1"/>
    <s v="6. Em implementação "/>
    <m/>
    <m/>
    <s v="Package X"/>
    <m/>
    <s v=""/>
    <s v=""/>
    <s v=""/>
    <m/>
    <m/>
    <m/>
    <m/>
    <m/>
    <x v="0"/>
    <s v="HF"/>
  </r>
  <r>
    <x v="0"/>
    <x v="1"/>
    <x v="0"/>
    <s v="lt002_instrument"/>
    <s v="rsk_mtgtd_ccp"/>
    <x v="1"/>
    <s v="6. Em implementação "/>
    <m/>
    <m/>
    <s v="Package X"/>
    <m/>
    <s v=""/>
    <s v=""/>
    <s v=""/>
    <d v="2024-10-30T00:00:00"/>
    <m/>
    <s v="Novo projeto - Para testar"/>
    <m/>
    <m/>
    <x v="0"/>
    <s v="JB"/>
  </r>
  <r>
    <x v="0"/>
    <x v="1"/>
    <x v="0"/>
    <s v="lt007_instr_activity"/>
    <s v="COD_SOC"/>
    <x v="1"/>
    <s v="6. Em implementação "/>
    <m/>
    <s v="Package 4"/>
    <s v="Package X"/>
    <m/>
    <s v=""/>
    <s v=""/>
    <s v=""/>
    <m/>
    <m/>
    <s v="Novo Projeto - Em especificação"/>
    <s v="GD, P3 e GF"/>
    <s v="Novos Requisitos FY25 - Outros"/>
    <x v="1"/>
    <s v="RC"/>
  </r>
  <r>
    <x v="0"/>
    <x v="1"/>
    <x v="0"/>
    <s v="lt007_instr_activity"/>
    <s v="DT_RFRNC"/>
    <x v="1"/>
    <s v="6. Em implementação "/>
    <m/>
    <s v="Package 3"/>
    <s v="Package X"/>
    <m/>
    <s v=""/>
    <s v=""/>
    <s v=""/>
    <m/>
    <m/>
    <s v="Novo Projeto - Em especificação"/>
    <s v="GD, P3 e GF"/>
    <s v="Novos Requisitos FY25 - Outros"/>
    <x v="1"/>
    <s v="RC"/>
  </r>
  <r>
    <x v="0"/>
    <x v="1"/>
    <x v="0"/>
    <s v="lt007_instr_activity"/>
    <s v="INSTRMNT_ID"/>
    <x v="1"/>
    <s v="6. Em implementação "/>
    <m/>
    <s v="Package 4"/>
    <s v="Package X"/>
    <m/>
    <s v=""/>
    <s v=""/>
    <s v=""/>
    <m/>
    <m/>
    <s v="Novo Projeto - Em especificação"/>
    <s v="GD, P3 e GF"/>
    <s v="Novos Requisitos FY25 - Outros"/>
    <x v="1"/>
    <s v="RC"/>
  </r>
  <r>
    <x v="0"/>
    <x v="1"/>
    <x v="0"/>
    <s v="lt007_instr_activity"/>
    <s v="FLG_DNSH_CMPLNC"/>
    <x v="1"/>
    <s v="6. Em implementação "/>
    <m/>
    <s v="Package 2"/>
    <s v="Package X"/>
    <m/>
    <s v=""/>
    <s v=""/>
    <s v=""/>
    <m/>
    <m/>
    <s v="Novo Projeto - Em especificação"/>
    <s v="P3"/>
    <s v="Novos Requisitos FY25 - Outros"/>
    <x v="1"/>
    <s v="JB/RC"/>
  </r>
  <r>
    <x v="0"/>
    <x v="1"/>
    <x v="0"/>
    <s v="lt007_instr_activity"/>
    <s v="DNSH_DTL"/>
    <x v="1"/>
    <s v="6. Em implementação "/>
    <m/>
    <s v="Package 2"/>
    <s v="Package X"/>
    <m/>
    <s v=""/>
    <s v=""/>
    <s v=""/>
    <m/>
    <m/>
    <s v="Novo Projeto - Em especificação"/>
    <s v="P3"/>
    <s v="Novos Requisitos FY25 - Outros"/>
    <x v="1"/>
    <s v="JB/RC"/>
  </r>
  <r>
    <x v="0"/>
    <x v="1"/>
    <x v="0"/>
    <s v="lt002_instrument"/>
    <s v="FLG_MNMM_SFGRDS"/>
    <x v="1"/>
    <s v="6. Em implementação "/>
    <m/>
    <s v="Package 2"/>
    <s v="Package X"/>
    <m/>
    <s v=""/>
    <s v=""/>
    <s v=""/>
    <m/>
    <m/>
    <s v="Novo Projeto - Em especificação"/>
    <s v="P3 e ESG"/>
    <s v="Novos Requisitos FY25 - Outros"/>
    <x v="1"/>
    <s v="JB"/>
  </r>
  <r>
    <x v="0"/>
    <x v="1"/>
    <x v="0"/>
    <s v="lt003_entity"/>
    <s v="txnmy_elgbl_capex_w"/>
    <x v="1"/>
    <s v="6. Em implementação "/>
    <m/>
    <s v="Package 1"/>
    <s v="Package X"/>
    <m/>
    <s v=""/>
    <s v=""/>
    <s v=""/>
    <m/>
    <m/>
    <s v="Novo Projeto - Em especificação"/>
    <s v="P3"/>
    <s v="Novos Requisitos FY25 - Outros"/>
    <x v="1"/>
    <s v="JB"/>
  </r>
  <r>
    <x v="0"/>
    <x v="1"/>
    <x v="0"/>
    <s v="lt003_entity"/>
    <s v="txnmy_elgbl_trnvr_w"/>
    <x v="1"/>
    <s v="6. Em implementação "/>
    <m/>
    <s v="Package 1"/>
    <s v="Package X"/>
    <m/>
    <s v=""/>
    <s v=""/>
    <s v=""/>
    <m/>
    <m/>
    <s v="Novo Projeto - Em especificação"/>
    <s v="P3"/>
    <s v="Novos Requisitos FY25 - Outros"/>
    <x v="1"/>
    <s v="JB"/>
  </r>
  <r>
    <x v="0"/>
    <x v="1"/>
    <x v="0"/>
    <s v="lt003_entity"/>
    <s v="txnmy_elgbl_capex_p"/>
    <x v="1"/>
    <s v="6. Em implementação "/>
    <m/>
    <s v="Package 1"/>
    <s v="Package X"/>
    <m/>
    <s v=""/>
    <s v=""/>
    <s v=""/>
    <m/>
    <m/>
    <s v="Novo Projeto - Em especificação"/>
    <s v="P3"/>
    <s v="Novos Requisitos FY25 - Outros"/>
    <x v="1"/>
    <s v="JB"/>
  </r>
  <r>
    <x v="0"/>
    <x v="1"/>
    <x v="0"/>
    <s v="lt003_entity"/>
    <s v="txnmy_elgbl_trnvr_p"/>
    <x v="1"/>
    <s v="6. Em implementação "/>
    <m/>
    <s v="Package 1"/>
    <s v="Package X"/>
    <m/>
    <s v=""/>
    <s v=""/>
    <s v=""/>
    <m/>
    <m/>
    <s v="Novo Projeto - Em especificação"/>
    <s v="P3"/>
    <s v="Novos Requisitos FY25 - Outros"/>
    <x v="1"/>
    <s v="JB"/>
  </r>
  <r>
    <x v="0"/>
    <x v="1"/>
    <x v="0"/>
    <s v="lt003_entity"/>
    <s v="txnmy_elgbl_capex_b"/>
    <x v="1"/>
    <s v="6. Em implementação "/>
    <m/>
    <s v="Package 1"/>
    <s v="Package X"/>
    <m/>
    <s v=""/>
    <s v=""/>
    <s v=""/>
    <m/>
    <m/>
    <s v="Novo Projeto - Em especificação"/>
    <s v="P3"/>
    <s v="Novos Requisitos FY25 - Outros"/>
    <x v="1"/>
    <s v="JB"/>
  </r>
  <r>
    <x v="0"/>
    <x v="1"/>
    <x v="0"/>
    <s v="lt003_entity"/>
    <s v="txnmy_elgbl_trnvr_b"/>
    <x v="1"/>
    <s v="6. Em implementação "/>
    <m/>
    <s v="Package 1"/>
    <s v="Package X"/>
    <m/>
    <s v=""/>
    <s v=""/>
    <s v=""/>
    <m/>
    <m/>
    <s v="Novo Projeto - Em especificação"/>
    <s v="P3"/>
    <s v="Novos Requisitos FY25 - Outros"/>
    <x v="1"/>
    <s v="JB"/>
  </r>
  <r>
    <x v="0"/>
    <x v="1"/>
    <x v="0"/>
    <s v="lt003_entity"/>
    <s v="txnmy_elgbl_capex_ce"/>
    <x v="1"/>
    <s v="6. Em implementação "/>
    <m/>
    <s v="Package 1"/>
    <s v="Package X"/>
    <m/>
    <s v=""/>
    <s v=""/>
    <s v=""/>
    <m/>
    <m/>
    <s v="Novo Projeto - Em especificação"/>
    <s v="P3"/>
    <s v="Novos Requisitos FY25 - Outros"/>
    <x v="1"/>
    <s v="JB"/>
  </r>
  <r>
    <x v="0"/>
    <x v="1"/>
    <x v="0"/>
    <s v="lt003_entity"/>
    <s v="txnmy_elgbl_trnvr_ce"/>
    <x v="1"/>
    <s v="6. Em implementação "/>
    <m/>
    <s v="Package 1"/>
    <s v="Package X"/>
    <m/>
    <s v=""/>
    <s v=""/>
    <s v=""/>
    <m/>
    <m/>
    <s v="Novo Projeto - Em especificação"/>
    <s v="P3"/>
    <s v="Novos Requisitos FY25 - Outros"/>
    <x v="1"/>
    <s v="JB"/>
  </r>
  <r>
    <x v="0"/>
    <x v="1"/>
    <x v="0"/>
    <s v="lt003_entity"/>
    <s v="pure_capex_p"/>
    <x v="1"/>
    <s v="6. Em implementação "/>
    <m/>
    <s v="Package 1"/>
    <s v="Package X"/>
    <m/>
    <s v=""/>
    <s v=""/>
    <s v=""/>
    <m/>
    <m/>
    <s v="Novo Projeto - Em especificação"/>
    <s v="P3"/>
    <s v="Novos Requisitos FY25 - Outros"/>
    <x v="1"/>
    <s v="JB"/>
  </r>
  <r>
    <x v="0"/>
    <x v="1"/>
    <x v="0"/>
    <s v="lt003_entity"/>
    <s v="pure_trnvr_p"/>
    <x v="1"/>
    <s v="6. Em implementação "/>
    <m/>
    <s v="Package 1"/>
    <s v="Package X"/>
    <m/>
    <s v=""/>
    <s v=""/>
    <s v=""/>
    <m/>
    <m/>
    <s v="Novo Projeto - Em especificação"/>
    <s v="P3"/>
    <s v="Novos Requisitos FY25 - Outros"/>
    <x v="1"/>
    <s v="JB"/>
  </r>
  <r>
    <x v="0"/>
    <x v="1"/>
    <x v="0"/>
    <s v="lt003_entity"/>
    <s v="pure_capex_b"/>
    <x v="1"/>
    <s v="6. Em implementação "/>
    <m/>
    <s v="Package 1"/>
    <s v="Package X"/>
    <m/>
    <s v=""/>
    <s v=""/>
    <s v=""/>
    <m/>
    <m/>
    <s v="Novo Projeto - Em especificação"/>
    <s v="P3"/>
    <s v="Novos Requisitos FY25 - Outros"/>
    <x v="1"/>
    <s v="JB"/>
  </r>
  <r>
    <x v="0"/>
    <x v="1"/>
    <x v="0"/>
    <s v="lt003_entity"/>
    <s v="pure_trnvr_b"/>
    <x v="1"/>
    <s v="6. Em implementação "/>
    <m/>
    <s v="Package 1"/>
    <s v="Package X"/>
    <m/>
    <s v=""/>
    <s v=""/>
    <s v=""/>
    <m/>
    <m/>
    <s v="Novo Projeto - Em especificação"/>
    <s v="P3"/>
    <s v="Novos Requisitos FY25 - Outros"/>
    <x v="1"/>
    <s v="JB"/>
  </r>
  <r>
    <x v="0"/>
    <x v="1"/>
    <x v="0"/>
    <s v="lt003_entity"/>
    <s v="pure_capex_w"/>
    <x v="1"/>
    <s v="6. Em implementação "/>
    <m/>
    <s v="Package 1"/>
    <s v="Package X"/>
    <m/>
    <s v=""/>
    <s v=""/>
    <s v=""/>
    <m/>
    <m/>
    <s v="Novo Projeto - Em especificação"/>
    <s v="P3"/>
    <s v="Novos Requisitos FY25 - Outros"/>
    <x v="1"/>
    <s v="JB"/>
  </r>
  <r>
    <x v="0"/>
    <x v="1"/>
    <x v="0"/>
    <s v="lt003_entity"/>
    <s v="pure_trnvr_w"/>
    <x v="1"/>
    <s v="6. Em implementação "/>
    <m/>
    <s v="Package 1"/>
    <s v="Package X"/>
    <m/>
    <s v=""/>
    <s v=""/>
    <s v=""/>
    <m/>
    <m/>
    <s v="Novo Projeto - Em especificação"/>
    <s v="P3"/>
    <s v="Novos Requisitos FY25 - Outros"/>
    <x v="1"/>
    <s v="JB"/>
  </r>
  <r>
    <x v="0"/>
    <x v="1"/>
    <x v="0"/>
    <s v="lt003_entity"/>
    <s v="pure_capex_ce"/>
    <x v="1"/>
    <s v="6. Em implementação "/>
    <m/>
    <s v="Package 1"/>
    <s v="Package X"/>
    <m/>
    <s v=""/>
    <s v=""/>
    <s v=""/>
    <m/>
    <m/>
    <s v="Novo Projeto - Em especificação"/>
    <s v="P3"/>
    <s v="Novos Requisitos FY25 - Outros"/>
    <x v="1"/>
    <s v="JB"/>
  </r>
  <r>
    <x v="0"/>
    <x v="1"/>
    <x v="0"/>
    <s v="lt003_entity"/>
    <s v="pure_trnvr_ce"/>
    <x v="1"/>
    <s v="6. Em implementação "/>
    <m/>
    <s v="Package 1"/>
    <s v="Package X"/>
    <m/>
    <s v=""/>
    <s v=""/>
    <s v=""/>
    <m/>
    <m/>
    <s v="Novo Projeto - Em especificação"/>
    <s v="P3"/>
    <s v="Novos Requisitos FY25 - Outros"/>
    <x v="1"/>
    <s v="JB"/>
  </r>
  <r>
    <x v="0"/>
    <x v="1"/>
    <x v="0"/>
    <s v="lt003_entity"/>
    <s v="enblng_capex_w"/>
    <x v="1"/>
    <s v="6. Em implementação "/>
    <m/>
    <s v="Package 1"/>
    <s v="Package X"/>
    <m/>
    <s v=""/>
    <s v=""/>
    <s v=""/>
    <m/>
    <m/>
    <s v="Novo Projeto - Em especificação"/>
    <s v="P3"/>
    <s v="Novos Requisitos FY25 - Outros"/>
    <x v="1"/>
    <s v="JB"/>
  </r>
  <r>
    <x v="0"/>
    <x v="1"/>
    <x v="0"/>
    <s v="lt003_entity"/>
    <s v="enblng_trnvr_w"/>
    <x v="1"/>
    <s v="6. Em implementação "/>
    <m/>
    <s v="Package 1"/>
    <s v="Package X"/>
    <m/>
    <s v=""/>
    <s v=""/>
    <s v=""/>
    <m/>
    <m/>
    <s v="Novo Projeto - Em especificação"/>
    <s v="P3"/>
    <s v="Novos Requisitos FY25 - Outros"/>
    <x v="1"/>
    <s v="JB"/>
  </r>
  <r>
    <x v="0"/>
    <x v="1"/>
    <x v="0"/>
    <s v="lt003_entity"/>
    <s v="enblng_capex_ce"/>
    <x v="1"/>
    <s v="6. Em implementação "/>
    <m/>
    <s v="Package 1"/>
    <s v="Package X"/>
    <m/>
    <s v=""/>
    <s v=""/>
    <s v=""/>
    <m/>
    <m/>
    <s v="Novo Projeto - Em especificação"/>
    <s v="P3"/>
    <s v="Novos Requisitos FY25 - Outros"/>
    <x v="1"/>
    <s v="JB"/>
  </r>
  <r>
    <x v="0"/>
    <x v="1"/>
    <x v="0"/>
    <s v="lt003_entity"/>
    <s v="enblng_trnvr_ce"/>
    <x v="1"/>
    <s v="6. Em implementação "/>
    <m/>
    <s v="Package 1"/>
    <s v="Package X"/>
    <m/>
    <s v=""/>
    <s v=""/>
    <s v=""/>
    <m/>
    <m/>
    <s v="Novo Projeto - Em especificação"/>
    <s v="P3"/>
    <s v="Novos Requisitos FY25 - Outros"/>
    <x v="1"/>
    <s v="JB"/>
  </r>
  <r>
    <x v="0"/>
    <x v="1"/>
    <x v="0"/>
    <s v="lt004_protection"/>
    <s v="TYP_EMSSNS_LBL"/>
    <x v="1"/>
    <s v="6. Em implementação "/>
    <m/>
    <s v="Package 2"/>
    <s v="Package X"/>
    <m/>
    <s v=""/>
    <s v=""/>
    <s v=""/>
    <m/>
    <m/>
    <s v="Novo Projeto - Em especificação"/>
    <s v="ESG"/>
    <s v="Novos Requisitos FY25 - Outros"/>
    <x v="1"/>
    <s v="JB"/>
  </r>
  <r>
    <x v="0"/>
    <x v="1"/>
    <x v="0"/>
    <s v="lt004_protection"/>
    <s v="VHCL_EMSSNS_LBL"/>
    <x v="1"/>
    <s v="6. Em implementação "/>
    <m/>
    <s v="Package 2"/>
    <s v="Package X"/>
    <m/>
    <s v=""/>
    <s v=""/>
    <s v=""/>
    <m/>
    <m/>
    <s v="Novo Projeto - Em especificação"/>
    <s v="ESG"/>
    <s v="Novos Requisitos FY25 - Outros"/>
    <x v="1"/>
    <s v="JB"/>
  </r>
  <r>
    <x v="0"/>
    <x v="1"/>
    <x v="0"/>
    <s v="lt004_protection"/>
    <s v="VHCL_EMSSNS_SCR"/>
    <x v="1"/>
    <s v="6. Em implementação "/>
    <m/>
    <s v="Package 2"/>
    <s v="Package X"/>
    <m/>
    <s v=""/>
    <s v=""/>
    <s v=""/>
    <m/>
    <m/>
    <s v="Novo Projeto - Em especificação"/>
    <s v="ESG"/>
    <s v="Novos Requisitos FY25 - Outros"/>
    <x v="1"/>
    <s v="JB"/>
  </r>
  <r>
    <x v="0"/>
    <x v="1"/>
    <x v="0"/>
    <s v="lt004_protection"/>
    <s v="INSRNC_ID"/>
    <x v="1"/>
    <s v="6. Em implementação "/>
    <m/>
    <s v="Package 2"/>
    <s v="Package X"/>
    <m/>
    <s v=""/>
    <s v=""/>
    <s v=""/>
    <m/>
    <m/>
    <s v="Novo Projeto - Em especificação"/>
    <s v="ESG"/>
    <s v="Novos Requisitos FY25 - Outros"/>
    <x v="1"/>
    <s v="JB"/>
  </r>
  <r>
    <x v="0"/>
    <x v="1"/>
    <x v="0"/>
    <s v="lt004_protection"/>
    <s v="TYP_HZRDS_INSRD"/>
    <x v="1"/>
    <s v="6. Em implementação "/>
    <m/>
    <s v="Package 2"/>
    <s v="Package X"/>
    <m/>
    <s v=""/>
    <s v=""/>
    <s v=""/>
    <m/>
    <m/>
    <s v="Novo Projeto - Em especificação"/>
    <s v="ESG"/>
    <s v="Novos Requisitos FY25 - Outros"/>
    <x v="1"/>
    <s v="JB"/>
  </r>
  <r>
    <x v="0"/>
    <x v="1"/>
    <x v="0"/>
    <s v="lt004_protection"/>
    <s v="AMNT_CVRD_INSRNC"/>
    <x v="1"/>
    <s v="6. Em implementação "/>
    <m/>
    <s v="Package 2"/>
    <s v="Package X"/>
    <m/>
    <s v=""/>
    <s v=""/>
    <s v=""/>
    <m/>
    <m/>
    <s v="Novo Projeto - Em especificação"/>
    <s v="ESG"/>
    <s v="Novos Requisitos FY25 - Outros"/>
    <x v="1"/>
    <s v="JB"/>
  </r>
  <r>
    <x v="0"/>
    <x v="1"/>
    <x v="0"/>
    <s v="lt004_protection"/>
    <s v="DT_MTRTY_INSRNC"/>
    <x v="1"/>
    <s v="6. Em implementação "/>
    <m/>
    <s v="Package 2"/>
    <s v="Package X"/>
    <m/>
    <s v=""/>
    <s v=""/>
    <s v=""/>
    <m/>
    <m/>
    <s v="Novo Projeto - Em especificação"/>
    <s v="ESG"/>
    <s v="Novos Requisitos FY25 - Outros"/>
    <x v="1"/>
    <s v="JB"/>
  </r>
  <r>
    <x v="0"/>
    <x v="1"/>
    <x v="0"/>
    <s v="lt004_protection"/>
    <s v="FLG_FRST_HM"/>
    <x v="1"/>
    <s v="6. Em implementação "/>
    <m/>
    <s v="Package 2"/>
    <s v="Package X"/>
    <m/>
    <s v=""/>
    <s v=""/>
    <s v=""/>
    <m/>
    <m/>
    <s v="Novo Projeto - Em especificação"/>
    <s v="ESG"/>
    <s v="Novos Requisitos FY25 - Outros"/>
    <x v="1"/>
    <s v="JB"/>
  </r>
  <r>
    <x v="0"/>
    <x v="1"/>
    <x v="0"/>
    <s v="lt004_protection"/>
    <s v="RL_ESTT_CRTFCTN"/>
    <x v="1"/>
    <s v="6. Em implementação "/>
    <m/>
    <s v="Package 2"/>
    <s v="Package X"/>
    <m/>
    <s v=""/>
    <s v=""/>
    <s v=""/>
    <m/>
    <m/>
    <s v="Novo Projeto - Em especificação"/>
    <s v="P3 e ESG"/>
    <s v="Novos Requisitos FY25 - Outros"/>
    <x v="1"/>
    <s v="JB"/>
  </r>
  <r>
    <x v="0"/>
    <x v="1"/>
    <x v="0"/>
    <s v="lt004_protection"/>
    <s v="DT_RGSTRTN"/>
    <x v="1"/>
    <s v="6. Em implementação "/>
    <m/>
    <s v="Package 2"/>
    <s v="Package X"/>
    <m/>
    <s v=""/>
    <s v=""/>
    <s v=""/>
    <m/>
    <m/>
    <s v="Novo Projeto - Em especificação"/>
    <s v="P3 e ESG"/>
    <s v="Novos Requisitos FY25 - Outros"/>
    <x v="1"/>
    <s v="JB"/>
  </r>
  <r>
    <x v="0"/>
    <x v="1"/>
    <x v="0"/>
    <s v="lt004_protection"/>
    <s v="PRMRY_ENRGY_DMND_NN_RNWBL"/>
    <x v="1"/>
    <s v="6. Em implementação "/>
    <m/>
    <s v="Package 3"/>
    <s v="Package X"/>
    <m/>
    <s v=""/>
    <s v=""/>
    <s v=""/>
    <m/>
    <m/>
    <s v="Novo Projeto - Em especificação"/>
    <s v="P3 e ESG"/>
    <s v="Novos Requisitos FY25 - Outros"/>
    <x v="1"/>
    <s v="HF"/>
  </r>
  <r>
    <x v="0"/>
    <x v="1"/>
    <x v="0"/>
    <s v="lt002_instrument"/>
    <s v="grss_intrst_incm"/>
    <x v="1"/>
    <s v="6. Em implementação "/>
    <m/>
    <s v="Package 6"/>
    <s v="Sem teste"/>
    <m/>
    <s v=""/>
    <s v=""/>
    <s v=""/>
    <d v="2024-10-30T00:00:00"/>
    <m/>
    <m/>
    <m/>
    <m/>
    <x v="0"/>
    <s v="HF"/>
  </r>
  <r>
    <x v="0"/>
    <x v="1"/>
    <x v="0"/>
    <s v="lt002_instrument"/>
    <s v="grss_cmmssn_incm"/>
    <x v="1"/>
    <s v="6. Em implementação "/>
    <m/>
    <s v="Package 6"/>
    <s v="Sem teste"/>
    <m/>
    <s v=""/>
    <s v=""/>
    <s v=""/>
    <d v="2024-10-30T00:00:00"/>
    <m/>
    <m/>
    <m/>
    <m/>
    <x v="0"/>
    <s v="HF"/>
  </r>
  <r>
    <x v="0"/>
    <x v="1"/>
    <x v="0"/>
    <s v="lt002_instrument"/>
    <s v="grss_cmmssn_incm_off_blnc"/>
    <x v="1"/>
    <s v="6. Em implementação "/>
    <m/>
    <s v="Package 6"/>
    <s v="Sem teste"/>
    <m/>
    <s v=""/>
    <s v=""/>
    <s v=""/>
    <d v="2024-10-30T00:00:00"/>
    <m/>
    <m/>
    <m/>
    <m/>
    <x v="0"/>
    <s v="HF"/>
  </r>
  <r>
    <x v="0"/>
    <x v="1"/>
    <x v="0"/>
    <s v="lt002_instrument"/>
    <s v="FRBRNC_STTS_INSTRMNT"/>
    <x v="1"/>
    <s v="6. Em implementação "/>
    <m/>
    <s v="Package 2"/>
    <s v="Sem teste"/>
    <m/>
    <s v=""/>
    <s v=""/>
    <s v=""/>
    <m/>
    <m/>
    <s v="Novo Projeto - Em especificação"/>
    <s v="ESTR, P3 e LF"/>
    <s v="Novos Requisitos FY25 - Âmbito ESTR e (ou) LF"/>
    <x v="1"/>
    <s v="JB"/>
  </r>
  <r>
    <x v="0"/>
    <x v="1"/>
    <x v="0"/>
    <s v="lt002_instrument"/>
    <s v="INTRNL_SGMNT"/>
    <x v="1"/>
    <s v="6. Em implementação "/>
    <m/>
    <s v="Package 3"/>
    <s v="Sem teste"/>
    <m/>
    <s v=""/>
    <s v=""/>
    <s v=""/>
    <m/>
    <m/>
    <s v="Novo Projeto - Em especificação"/>
    <s v="ESTR, ESG e LF"/>
    <s v="Novos Requisitos FY25 - Âmbito ESTR e (ou) LF"/>
    <x v="1"/>
    <s v="HF"/>
  </r>
  <r>
    <x v="0"/>
    <x v="1"/>
    <x v="0"/>
    <s v="lt002_instrument"/>
    <s v="DT_ORGNL_MTRTY"/>
    <x v="1"/>
    <s v="6. Em implementação "/>
    <m/>
    <s v="Package 3"/>
    <s v="Sem teste"/>
    <m/>
    <s v=""/>
    <s v=""/>
    <s v=""/>
    <m/>
    <m/>
    <s v="Novo Projeto - Em especificação"/>
    <s v="ESTR, P3, GF e LF"/>
    <s v="Novos Requisitos FY25 - Âmbito ESTR e (ou) LF"/>
    <x v="1"/>
    <s v="HF"/>
  </r>
  <r>
    <x v="0"/>
    <x v="1"/>
    <x v="0"/>
    <s v="lt002_instrument"/>
    <s v="EAD"/>
    <x v="1"/>
    <s v="6. Em implementação "/>
    <m/>
    <s v="Package 3"/>
    <s v="Sem teste"/>
    <m/>
    <s v=""/>
    <s v=""/>
    <s v=""/>
    <m/>
    <m/>
    <s v="Novo Projeto - Em especificação"/>
    <s v="ESTR, GD, ESG e LF"/>
    <s v="Novos Requisitos FY25 - Âmbito ESTR e (ou) LF"/>
    <x v="1"/>
    <s v="HF"/>
  </r>
  <r>
    <x v="0"/>
    <x v="1"/>
    <x v="0"/>
    <s v="lt002_instrument"/>
    <s v="RWA"/>
    <x v="1"/>
    <s v="6. Em implementação "/>
    <m/>
    <s v="Package 3"/>
    <s v="Sem teste"/>
    <m/>
    <s v=""/>
    <s v=""/>
    <s v=""/>
    <m/>
    <m/>
    <s v="Novo Projeto - Em especificação"/>
    <s v="ESTR, GD, P3, GF e LF"/>
    <s v="Novos Requisitos FY25 - Âmbito ESTR e (ou) LF"/>
    <x v="1"/>
    <s v="HF"/>
  </r>
  <r>
    <x v="0"/>
    <x v="1"/>
    <x v="0"/>
    <s v="lt002_instrument"/>
    <s v="LTV"/>
    <x v="1"/>
    <s v="6. Em implementação "/>
    <m/>
    <s v="Package 3"/>
    <s v="Sem teste"/>
    <m/>
    <s v=""/>
    <s v=""/>
    <s v=""/>
    <m/>
    <m/>
    <s v="Novo Projeto - Em especificação"/>
    <s v="ESTR e P3"/>
    <s v="Novos Requisitos FY25 - Âmbito ESTR e (ou) LF"/>
    <x v="1"/>
    <s v="HF"/>
  </r>
  <r>
    <x v="0"/>
    <x v="1"/>
    <x v="0"/>
    <s v="lt002_instrument"/>
    <s v="LTV_INCPTN"/>
    <x v="1"/>
    <s v="6. Em implementação "/>
    <m/>
    <s v="Package 3"/>
    <s v="Sem teste"/>
    <m/>
    <s v=""/>
    <s v=""/>
    <s v=""/>
    <m/>
    <m/>
    <s v="Novo Projeto - Em especificação"/>
    <s v="ESTR e P3"/>
    <s v="Novos Requisitos FY25 - Âmbito ESTR e (ou) LF"/>
    <x v="1"/>
    <s v="JB"/>
  </r>
  <r>
    <x v="0"/>
    <x v="1"/>
    <x v="0"/>
    <s v="lt002_instrument"/>
    <s v="EIR"/>
    <x v="1"/>
    <s v="6. Em implementação "/>
    <m/>
    <s v="Package 3"/>
    <s v="Sem teste"/>
    <m/>
    <s v=""/>
    <s v=""/>
    <s v=""/>
    <m/>
    <m/>
    <s v="Novo Projeto - Em especificação"/>
    <s v="ESTR, P3 e LF"/>
    <s v="Novos Requisitos FY25 - Âmbito ESTR e (ou) LF"/>
    <x v="1"/>
    <s v="JB"/>
  </r>
  <r>
    <x v="0"/>
    <x v="1"/>
    <x v="0"/>
    <s v="lt002_instrument"/>
    <s v="EIR_INCPTN"/>
    <x v="1"/>
    <s v="6. Em implementação "/>
    <m/>
    <s v="Package 3"/>
    <s v="Sem teste"/>
    <m/>
    <s v=""/>
    <s v=""/>
    <s v=""/>
    <m/>
    <m/>
    <s v="Novo Projeto - Em especificação"/>
    <s v="ESTR e P3"/>
    <s v="Novos Requisitos FY25 - Âmbito ESTR e (ou) LF"/>
    <x v="1"/>
    <s v="JB"/>
  </r>
  <r>
    <x v="0"/>
    <x v="1"/>
    <x v="0"/>
    <s v="lt002_instrument"/>
    <s v="INTRNL_SGMNT_CAT_MSTA"/>
    <x v="1"/>
    <s v="6. Em implementação "/>
    <m/>
    <s v="Package 3"/>
    <s v="Sem teste"/>
    <m/>
    <s v=""/>
    <s v=""/>
    <s v=""/>
    <m/>
    <m/>
    <s v="Novo Projeto - Em especificação"/>
    <s v="ESTR e ESG"/>
    <s v="Novos Requisitos FY25 - Âmbito ESTR e (ou) LF"/>
    <x v="1"/>
    <s v="JB"/>
  </r>
  <r>
    <x v="0"/>
    <x v="1"/>
    <x v="0"/>
    <s v="lt002_instrument"/>
    <s v="INTRNL_SGMNT_CATGSUB"/>
    <x v="1"/>
    <s v="6. Em implementação "/>
    <m/>
    <s v="Package 3"/>
    <s v="Sem teste"/>
    <m/>
    <s v=""/>
    <s v=""/>
    <s v=""/>
    <m/>
    <m/>
    <s v="Novo Projeto - Em especificação"/>
    <s v="ESTR e ESG"/>
    <s v="Novos Requisitos FY25 - Âmbito ESTR e (ou) LF"/>
    <x v="1"/>
    <s v="JB"/>
  </r>
  <r>
    <x v="0"/>
    <x v="1"/>
    <x v="0"/>
    <s v="lt003_entity"/>
    <s v="entty_nm"/>
    <x v="1"/>
    <s v="6. Em implementação "/>
    <m/>
    <s v="Package 3"/>
    <s v="Sem teste"/>
    <m/>
    <s v=""/>
    <s v=""/>
    <s v=""/>
    <m/>
    <m/>
    <s v="Novo Projeto - Em especificação"/>
    <s v="ESTR, P3, GF e LF"/>
    <s v="Novos Requisitos FY25 - Âmbito ESTR e (ou) LF"/>
    <x v="1"/>
    <s v="JB"/>
  </r>
  <r>
    <x v="0"/>
    <x v="2"/>
    <x v="0"/>
    <s v="modesg_out_sfics_taxon_europeia"/>
    <s v="cbalcao"/>
    <x v="1"/>
    <s v="6. Em implementação "/>
    <m/>
    <s v="Package 5"/>
    <s v="package x (31 de março)"/>
    <m/>
    <s v=""/>
    <s v=""/>
    <s v=""/>
    <m/>
    <m/>
    <m/>
    <m/>
    <m/>
    <x v="0"/>
    <s v="RC"/>
  </r>
  <r>
    <x v="0"/>
    <x v="2"/>
    <x v="0"/>
    <s v="modesg_out_sfics_taxon_europeia"/>
    <s v="cempresa"/>
    <x v="1"/>
    <s v="6. Em implementação "/>
    <m/>
    <s v="Package 5"/>
    <s v="package x (31 de março)"/>
    <m/>
    <s v=""/>
    <s v=""/>
    <s v=""/>
    <m/>
    <m/>
    <m/>
    <m/>
    <m/>
    <x v="0"/>
    <s v="RC"/>
  </r>
  <r>
    <x v="0"/>
    <x v="2"/>
    <x v="0"/>
    <s v="modesg_out_sfics_taxon_europeia"/>
    <s v="cnumecta"/>
    <x v="1"/>
    <s v="6. Em implementação "/>
    <m/>
    <s v="Package 5"/>
    <s v="package x (31 de março)"/>
    <m/>
    <s v=""/>
    <s v=""/>
    <s v=""/>
    <m/>
    <m/>
    <m/>
    <m/>
    <m/>
    <x v="0"/>
    <s v="RC"/>
  </r>
  <r>
    <x v="0"/>
    <x v="2"/>
    <x v="0"/>
    <s v="modesg_out_sfics_taxon_europeia"/>
    <s v="cod_regra"/>
    <x v="1"/>
    <s v="6. Em implementação "/>
    <m/>
    <s v="Package 5"/>
    <s v="package x (31 de março)"/>
    <m/>
    <s v=""/>
    <s v=""/>
    <s v=""/>
    <m/>
    <m/>
    <m/>
    <m/>
    <m/>
    <x v="0"/>
    <s v="RC"/>
  </r>
  <r>
    <x v="0"/>
    <x v="2"/>
    <x v="0"/>
    <s v="modesg_out_sfics_taxon_europeia"/>
    <s v="nivel"/>
    <x v="1"/>
    <s v="6. Em implementação "/>
    <m/>
    <s v="Package 5"/>
    <s v="package x (31 de março)"/>
    <m/>
    <s v=""/>
    <s v=""/>
    <s v=""/>
    <m/>
    <m/>
    <m/>
    <m/>
    <m/>
    <x v="5"/>
    <m/>
  </r>
  <r>
    <x v="0"/>
    <x v="2"/>
    <x v="0"/>
    <s v="modesg_out_sfics_taxon_europeia"/>
    <s v="montante_pndrc"/>
    <x v="1"/>
    <s v="6. Em implementação "/>
    <m/>
    <s v="Package 5"/>
    <s v="package x (31 de março)"/>
    <m/>
    <s v=""/>
    <s v=""/>
    <s v=""/>
    <m/>
    <m/>
    <m/>
    <m/>
    <m/>
    <x v="0"/>
    <s v="RC"/>
  </r>
  <r>
    <x v="0"/>
    <x v="2"/>
    <x v="0"/>
    <s v="modesg_out_sfics_taxon_europeia"/>
    <s v="nome_ctgr_sfics"/>
    <x v="1"/>
    <s v="6. Em implementação "/>
    <m/>
    <s v="Package 5"/>
    <s v="package x (31 de março)"/>
    <m/>
    <s v=""/>
    <s v=""/>
    <s v=""/>
    <m/>
    <m/>
    <m/>
    <m/>
    <m/>
    <x v="0"/>
    <s v="RC"/>
  </r>
  <r>
    <x v="0"/>
    <x v="2"/>
    <x v="0"/>
    <s v="modesg_out_sfics_taxon_europeia"/>
    <s v="nome_general_specific_purpose"/>
    <x v="1"/>
    <s v="6. Em implementação "/>
    <m/>
    <s v="Package 5"/>
    <s v="package x (31 de março)"/>
    <m/>
    <s v=""/>
    <s v=""/>
    <s v=""/>
    <m/>
    <m/>
    <m/>
    <m/>
    <m/>
    <x v="0"/>
    <s v="RC"/>
  </r>
  <r>
    <x v="0"/>
    <x v="2"/>
    <x v="0"/>
    <s v="modesg_out_sfics_taxon_europeia"/>
    <s v="nome_purpose_esg_alinh_tax"/>
    <x v="1"/>
    <s v="6. Em implementação "/>
    <m/>
    <s v="Package 5"/>
    <s v="package x (31 de março)"/>
    <m/>
    <s v=""/>
    <s v=""/>
    <s v=""/>
    <m/>
    <m/>
    <m/>
    <m/>
    <m/>
    <x v="0"/>
    <s v="RC"/>
  </r>
  <r>
    <x v="0"/>
    <x v="2"/>
    <x v="0"/>
    <s v="modesg_out_sfics_taxon_europeia"/>
    <s v="nome_purpose_esg_nalinh_tax"/>
    <x v="1"/>
    <s v="6. Em implementação "/>
    <m/>
    <s v="Package 5"/>
    <s v="package x (31 de março)"/>
    <m/>
    <s v=""/>
    <s v=""/>
    <s v=""/>
    <m/>
    <m/>
    <m/>
    <m/>
    <m/>
    <x v="3"/>
    <s v="RC"/>
  </r>
  <r>
    <x v="0"/>
    <x v="2"/>
    <x v="0"/>
    <s v="modesg_out_sfics_taxon_europeia"/>
    <s v="nome_specific_eligible"/>
    <x v="1"/>
    <s v="6. Em implementação "/>
    <m/>
    <s v="Package 5"/>
    <s v="package x (31 de março)"/>
    <m/>
    <s v=""/>
    <s v=""/>
    <s v=""/>
    <m/>
    <m/>
    <m/>
    <m/>
    <m/>
    <x v="0"/>
    <s v="RC"/>
  </r>
  <r>
    <x v="0"/>
    <x v="2"/>
    <x v="0"/>
    <s v="modesg_out_sfics_taxon_europeia"/>
    <s v="nome_specific_sustainable"/>
    <x v="1"/>
    <s v="6. Em implementação "/>
    <m/>
    <s v="Package 5"/>
    <s v="package x (31 de março)"/>
    <m/>
    <s v=""/>
    <s v=""/>
    <s v=""/>
    <m/>
    <m/>
    <m/>
    <m/>
    <m/>
    <x v="0"/>
    <s v="RC"/>
  </r>
  <r>
    <x v="0"/>
    <x v="2"/>
    <x v="0"/>
    <s v="modesg_out_sfics_taxon_europeia"/>
    <s v="sstnbl_indctr"/>
    <x v="0"/>
    <s v="1. Concluído"/>
    <m/>
    <s v="Package 6"/>
    <s v="package x (31 de março)"/>
    <m/>
    <s v=""/>
    <s v=""/>
    <s v=""/>
    <m/>
    <m/>
    <m/>
    <m/>
    <m/>
    <x v="5"/>
    <m/>
  </r>
  <r>
    <x v="0"/>
    <x v="2"/>
    <x v="0"/>
    <s v="modesg_out_sfics_taxon_europeia"/>
    <s v="ref_date"/>
    <x v="1"/>
    <s v="6. Em implementação "/>
    <m/>
    <s v="Package 5"/>
    <s v="package x (31 de março)"/>
    <m/>
    <s v=""/>
    <s v=""/>
    <s v=""/>
    <m/>
    <m/>
    <m/>
    <m/>
    <m/>
    <x v="0"/>
    <s v="RC"/>
  </r>
  <r>
    <x v="0"/>
    <x v="2"/>
    <x v="0"/>
    <s v="modesg_out_sfics_taxon_europeia"/>
    <s v="zdeposit"/>
    <x v="1"/>
    <s v="6. Em implementação "/>
    <m/>
    <s v="Package 5"/>
    <s v="package x (31 de março)"/>
    <m/>
    <s v=""/>
    <s v=""/>
    <s v=""/>
    <m/>
    <m/>
    <m/>
    <m/>
    <m/>
    <x v="0"/>
    <s v="RC"/>
  </r>
  <r>
    <x v="0"/>
    <x v="3"/>
    <x v="1"/>
    <s v="ENERGY_CERTIFICATE_EST_INPUT"/>
    <s v="n.a."/>
    <x v="0"/>
    <s v="1. Concluído"/>
    <s v="Fase I"/>
    <m/>
    <m/>
    <m/>
    <s v=""/>
    <s v=""/>
    <s v=""/>
    <m/>
    <m/>
    <m/>
    <m/>
    <m/>
    <x v="0"/>
    <m/>
  </r>
  <r>
    <x v="0"/>
    <x v="3"/>
    <x v="0"/>
    <s v="ENERGY_CERTIFICATE_EST_INPUT"/>
    <s v="DATA_PROVIDER"/>
    <x v="4"/>
    <s v="0. Cancelado"/>
    <s v="Fase I"/>
    <m/>
    <m/>
    <m/>
    <s v=""/>
    <s v=""/>
    <s v=""/>
    <m/>
    <m/>
    <m/>
    <m/>
    <m/>
    <x v="0"/>
    <m/>
  </r>
  <r>
    <x v="0"/>
    <x v="3"/>
    <x v="0"/>
    <s v="ENERGY_CERTIFICATE_EST_INPUT"/>
    <s v="ACTUAL_VALUE_IND"/>
    <x v="4"/>
    <s v="0. Cancelado"/>
    <s v="Fase I"/>
    <m/>
    <m/>
    <m/>
    <s v=""/>
    <s v=""/>
    <s v=""/>
    <m/>
    <m/>
    <m/>
    <m/>
    <m/>
    <x v="0"/>
    <m/>
  </r>
  <r>
    <x v="0"/>
    <x v="0"/>
    <x v="1"/>
    <s v="PROCESS"/>
    <s v="n.a."/>
    <x v="0"/>
    <s v="1. Concluído"/>
    <m/>
    <m/>
    <m/>
    <m/>
    <s v=""/>
    <s v=""/>
    <s v=""/>
    <m/>
    <m/>
    <m/>
    <m/>
    <m/>
    <x v="0"/>
    <m/>
  </r>
  <r>
    <x v="0"/>
    <x v="0"/>
    <x v="0"/>
    <s v="PROCESS"/>
    <s v="PROCESS_BANK_ID"/>
    <x v="0"/>
    <s v="1. Concluído"/>
    <m/>
    <m/>
    <m/>
    <m/>
    <s v=""/>
    <s v=""/>
    <s v=""/>
    <m/>
    <m/>
    <m/>
    <m/>
    <m/>
    <x v="0"/>
    <m/>
  </r>
  <r>
    <x v="0"/>
    <x v="0"/>
    <x v="0"/>
    <s v="PROCESS"/>
    <s v="PROCESS_BRANCH_CODE"/>
    <x v="0"/>
    <s v="1. Concluído"/>
    <m/>
    <m/>
    <m/>
    <m/>
    <s v=""/>
    <s v=""/>
    <s v=""/>
    <m/>
    <m/>
    <m/>
    <m/>
    <m/>
    <x v="0"/>
    <m/>
  </r>
  <r>
    <x v="0"/>
    <x v="0"/>
    <x v="0"/>
    <s v="PROCESS"/>
    <s v="PROCESS_ACCOUNT_ID"/>
    <x v="0"/>
    <s v="1. Concluído"/>
    <m/>
    <m/>
    <m/>
    <m/>
    <s v=""/>
    <s v=""/>
    <s v=""/>
    <m/>
    <m/>
    <m/>
    <m/>
    <m/>
    <x v="0"/>
    <m/>
  </r>
  <r>
    <x v="0"/>
    <x v="0"/>
    <x v="0"/>
    <s v="PROCESS"/>
    <s v="cod_estd_prcs"/>
    <x v="4"/>
    <s v="0. Cancelado"/>
    <m/>
    <m/>
    <m/>
    <m/>
    <s v=""/>
    <s v=""/>
    <s v=""/>
    <m/>
    <m/>
    <m/>
    <m/>
    <m/>
    <x v="0"/>
    <m/>
  </r>
  <r>
    <x v="0"/>
    <x v="0"/>
    <x v="0"/>
    <s v="PROCESS"/>
    <s v="GUARANTEE_CODE"/>
    <x v="0"/>
    <s v="1. Concluído"/>
    <m/>
    <m/>
    <m/>
    <m/>
    <s v=""/>
    <s v=""/>
    <s v=""/>
    <m/>
    <m/>
    <m/>
    <m/>
    <m/>
    <x v="0"/>
    <m/>
  </r>
  <r>
    <x v="0"/>
    <x v="0"/>
    <x v="0"/>
    <s v="PROCESS"/>
    <s v="CURRENCY_CODE"/>
    <x v="0"/>
    <s v="1. Concluído"/>
    <m/>
    <m/>
    <m/>
    <m/>
    <s v=""/>
    <s v=""/>
    <s v=""/>
    <m/>
    <m/>
    <m/>
    <m/>
    <m/>
    <x v="0"/>
    <m/>
  </r>
  <r>
    <x v="0"/>
    <x v="0"/>
    <x v="0"/>
    <s v="PROCESS"/>
    <s v="PROCESS_CAMPAIGN_CODE"/>
    <x v="0"/>
    <s v="1. Concluído"/>
    <m/>
    <m/>
    <m/>
    <m/>
    <s v=""/>
    <s v=""/>
    <s v=""/>
    <m/>
    <m/>
    <m/>
    <m/>
    <m/>
    <x v="0"/>
    <m/>
  </r>
  <r>
    <x v="0"/>
    <x v="0"/>
    <x v="0"/>
    <s v="PROCESS"/>
    <s v="PROCESS_PRODUCT_ID"/>
    <x v="0"/>
    <s v="1. Concluído"/>
    <m/>
    <m/>
    <m/>
    <m/>
    <s v=""/>
    <s v=""/>
    <s v=""/>
    <m/>
    <m/>
    <m/>
    <m/>
    <m/>
    <x v="0"/>
    <m/>
  </r>
  <r>
    <x v="0"/>
    <x v="0"/>
    <x v="0"/>
    <s v="PROCESS"/>
    <s v="PROCESS_SUBPRODUCT_ID"/>
    <x v="0"/>
    <s v="1. Concluído"/>
    <m/>
    <m/>
    <m/>
    <m/>
    <s v=""/>
    <s v=""/>
    <s v=""/>
    <m/>
    <m/>
    <m/>
    <m/>
    <m/>
    <x v="0"/>
    <m/>
  </r>
  <r>
    <x v="0"/>
    <x v="0"/>
    <x v="0"/>
    <s v="PROCESS"/>
    <s v="GUARANTEE_TYPE_CODE"/>
    <x v="0"/>
    <s v="1. Concluído"/>
    <m/>
    <m/>
    <m/>
    <m/>
    <s v=""/>
    <s v=""/>
    <s v=""/>
    <m/>
    <m/>
    <m/>
    <m/>
    <m/>
    <x v="0"/>
    <m/>
  </r>
  <r>
    <x v="0"/>
    <x v="0"/>
    <x v="0"/>
    <s v="PROCESS"/>
    <s v="PROCESS_REFERENCE_CODE"/>
    <x v="0"/>
    <s v="1. Concluído"/>
    <m/>
    <m/>
    <m/>
    <m/>
    <s v=""/>
    <s v=""/>
    <s v=""/>
    <m/>
    <m/>
    <m/>
    <m/>
    <m/>
    <x v="0"/>
    <m/>
  </r>
  <r>
    <x v="0"/>
    <x v="0"/>
    <x v="0"/>
    <s v="PROCESS"/>
    <s v="PROCESS_START_DATE"/>
    <x v="0"/>
    <s v="1. Concluído"/>
    <m/>
    <m/>
    <m/>
    <m/>
    <s v=""/>
    <s v=""/>
    <s v=""/>
    <m/>
    <m/>
    <m/>
    <m/>
    <m/>
    <x v="0"/>
    <m/>
  </r>
  <r>
    <x v="0"/>
    <x v="0"/>
    <x v="0"/>
    <s v="PROCESS"/>
    <s v="PROCESS_DUE_DATE"/>
    <x v="0"/>
    <s v="1. Concluído"/>
    <m/>
    <m/>
    <m/>
    <m/>
    <s v=""/>
    <s v=""/>
    <s v=""/>
    <m/>
    <m/>
    <m/>
    <m/>
    <m/>
    <x v="0"/>
    <m/>
  </r>
  <r>
    <x v="0"/>
    <x v="0"/>
    <x v="0"/>
    <s v="PROCESS"/>
    <s v="montante_eur"/>
    <x v="4"/>
    <s v="0. Cancelado"/>
    <m/>
    <m/>
    <m/>
    <m/>
    <s v=""/>
    <s v=""/>
    <s v=""/>
    <m/>
    <m/>
    <m/>
    <m/>
    <m/>
    <x v="0"/>
    <m/>
  </r>
  <r>
    <x v="0"/>
    <x v="0"/>
    <x v="0"/>
    <s v="PROCESS"/>
    <s v="montante_org"/>
    <x v="4"/>
    <s v="0. Cancelado"/>
    <m/>
    <m/>
    <m/>
    <m/>
    <s v=""/>
    <s v=""/>
    <s v=""/>
    <m/>
    <m/>
    <m/>
    <m/>
    <m/>
    <x v="0"/>
    <m/>
  </r>
  <r>
    <x v="0"/>
    <x v="0"/>
    <x v="0"/>
    <s v="PROCESS"/>
    <s v="origem"/>
    <x v="4"/>
    <s v="0. Cancelado"/>
    <m/>
    <m/>
    <m/>
    <m/>
    <s v=""/>
    <s v=""/>
    <s v=""/>
    <m/>
    <m/>
    <m/>
    <m/>
    <m/>
    <x v="0"/>
    <m/>
  </r>
  <r>
    <x v="0"/>
    <x v="0"/>
    <x v="0"/>
    <s v="PROCESS"/>
    <s v="DATA_DATE_PART"/>
    <x v="0"/>
    <s v="1. Concluído"/>
    <m/>
    <m/>
    <m/>
    <m/>
    <s v=""/>
    <s v=""/>
    <s v=""/>
    <m/>
    <m/>
    <m/>
    <m/>
    <m/>
    <x v="0"/>
    <m/>
  </r>
  <r>
    <x v="0"/>
    <x v="0"/>
    <x v="0"/>
    <s v="PROCESS"/>
    <s v="SOURCE_CODE"/>
    <x v="0"/>
    <s v="1. Concluído"/>
    <m/>
    <m/>
    <m/>
    <m/>
    <s v=""/>
    <s v=""/>
    <s v=""/>
    <m/>
    <m/>
    <m/>
    <m/>
    <m/>
    <x v="0"/>
    <m/>
  </r>
  <r>
    <x v="0"/>
    <x v="0"/>
    <x v="1"/>
    <s v="RESPONSIBILITY_PROCESS_REL"/>
    <s v="n.a."/>
    <x v="0"/>
    <s v="1. Concluído"/>
    <m/>
    <m/>
    <m/>
    <m/>
    <s v=""/>
    <s v=""/>
    <s v=""/>
    <m/>
    <m/>
    <m/>
    <m/>
    <m/>
    <x v="0"/>
    <m/>
  </r>
  <r>
    <x v="0"/>
    <x v="0"/>
    <x v="0"/>
    <s v="RESPONSIBILITY_PROCESS_REL"/>
    <s v="PROCESS_BANK_ID"/>
    <x v="0"/>
    <s v="1. Concluído"/>
    <m/>
    <m/>
    <m/>
    <m/>
    <s v=""/>
    <s v=""/>
    <s v=""/>
    <m/>
    <m/>
    <m/>
    <m/>
    <m/>
    <x v="0"/>
    <m/>
  </r>
  <r>
    <x v="0"/>
    <x v="0"/>
    <x v="0"/>
    <s v="RESPONSIBILITY_PROCESS_REL"/>
    <s v="BANK_ID"/>
    <x v="0"/>
    <s v="1. Concluído"/>
    <m/>
    <m/>
    <m/>
    <m/>
    <s v=""/>
    <s v=""/>
    <s v=""/>
    <m/>
    <m/>
    <m/>
    <m/>
    <m/>
    <x v="0"/>
    <m/>
  </r>
  <r>
    <x v="0"/>
    <x v="0"/>
    <x v="0"/>
    <s v="RESPONSIBILITY_PROCESS_REL"/>
    <s v="PROCESS_BRANCH_CODE"/>
    <x v="0"/>
    <s v="1. Concluído"/>
    <m/>
    <m/>
    <m/>
    <m/>
    <s v=""/>
    <s v=""/>
    <s v=""/>
    <m/>
    <m/>
    <m/>
    <m/>
    <m/>
    <x v="0"/>
    <m/>
  </r>
  <r>
    <x v="0"/>
    <x v="0"/>
    <x v="0"/>
    <s v="RESPONSIBILITY_PROCESS_REL"/>
    <s v="BRANCH_CODE"/>
    <x v="0"/>
    <s v="1. Concluído"/>
    <m/>
    <m/>
    <m/>
    <m/>
    <s v=""/>
    <s v=""/>
    <s v=""/>
    <m/>
    <m/>
    <m/>
    <m/>
    <m/>
    <x v="0"/>
    <m/>
  </r>
  <r>
    <x v="0"/>
    <x v="0"/>
    <x v="0"/>
    <s v="RESPONSIBILITY_PROCESS_REL"/>
    <s v="CONTRACT_ID"/>
    <x v="0"/>
    <s v="1. Concluído"/>
    <m/>
    <m/>
    <m/>
    <m/>
    <s v=""/>
    <s v=""/>
    <s v=""/>
    <m/>
    <m/>
    <m/>
    <m/>
    <m/>
    <x v="0"/>
    <m/>
  </r>
  <r>
    <x v="0"/>
    <x v="0"/>
    <x v="0"/>
    <s v="RESPONSIBILITY_PROCESS_REL"/>
    <s v="PROCESS_ACCOUNT_ID"/>
    <x v="0"/>
    <s v="1. Concluído"/>
    <m/>
    <m/>
    <m/>
    <m/>
    <s v=""/>
    <s v=""/>
    <s v=""/>
    <m/>
    <m/>
    <m/>
    <m/>
    <m/>
    <x v="0"/>
    <m/>
  </r>
  <r>
    <x v="0"/>
    <x v="0"/>
    <x v="0"/>
    <s v="RESPONSIBILITY_PROCESS_REL"/>
    <s v="REFERENCE_CODE"/>
    <x v="0"/>
    <s v="1. Concluído"/>
    <m/>
    <m/>
    <m/>
    <m/>
    <s v=""/>
    <s v=""/>
    <s v=""/>
    <m/>
    <m/>
    <m/>
    <m/>
    <m/>
    <x v="0"/>
    <m/>
  </r>
  <r>
    <x v="0"/>
    <x v="0"/>
    <x v="0"/>
    <s v="RESPONSIBILITY_PROCESS_REL"/>
    <s v="PURPOSE_CODE"/>
    <x v="0"/>
    <s v="1. Concluído"/>
    <m/>
    <m/>
    <m/>
    <m/>
    <s v=""/>
    <s v=""/>
    <s v=""/>
    <m/>
    <m/>
    <m/>
    <m/>
    <m/>
    <x v="0"/>
    <m/>
  </r>
  <r>
    <x v="0"/>
    <x v="0"/>
    <x v="0"/>
    <s v="RESPONSIBILITY_PROCESS_REL"/>
    <s v="INDIVIDUAL_OCCUPATION_CODE"/>
    <x v="0"/>
    <s v="1. Concluído"/>
    <m/>
    <m/>
    <m/>
    <m/>
    <s v=""/>
    <s v=""/>
    <s v=""/>
    <m/>
    <m/>
    <m/>
    <m/>
    <m/>
    <x v="0"/>
    <m/>
  </r>
  <r>
    <x v="0"/>
    <x v="0"/>
    <x v="0"/>
    <s v="RESPONSIBILITY_PROCESS_REL"/>
    <s v="PRODUCT_ID"/>
    <x v="0"/>
    <s v="1. Concluído"/>
    <m/>
    <m/>
    <m/>
    <m/>
    <s v=""/>
    <s v=""/>
    <s v=""/>
    <m/>
    <m/>
    <m/>
    <m/>
    <m/>
    <x v="0"/>
    <m/>
  </r>
  <r>
    <x v="0"/>
    <x v="0"/>
    <x v="0"/>
    <s v="RESPONSIBILITY_PROCESS_REL"/>
    <s v="cod_sit"/>
    <x v="4"/>
    <s v="0. Cancelado"/>
    <m/>
    <m/>
    <m/>
    <m/>
    <s v=""/>
    <s v=""/>
    <s v=""/>
    <m/>
    <m/>
    <m/>
    <m/>
    <m/>
    <x v="0"/>
    <m/>
  </r>
  <r>
    <x v="0"/>
    <x v="0"/>
    <x v="0"/>
    <s v="RESPONSIBILITY_PROCESS_REL"/>
    <s v="SUBPRODUCT_ID"/>
    <x v="0"/>
    <s v="1. Concluído"/>
    <m/>
    <m/>
    <m/>
    <m/>
    <s v=""/>
    <s v=""/>
    <s v=""/>
    <m/>
    <m/>
    <m/>
    <m/>
    <m/>
    <x v="0"/>
    <m/>
  </r>
  <r>
    <x v="0"/>
    <x v="0"/>
    <x v="0"/>
    <s v="RESPONSIBILITY_PROCESS_REL"/>
    <s v="PROCESS_REFERENCE_CODE"/>
    <x v="0"/>
    <s v="1. Concluído"/>
    <m/>
    <m/>
    <m/>
    <m/>
    <s v=""/>
    <s v=""/>
    <s v=""/>
    <m/>
    <m/>
    <m/>
    <m/>
    <m/>
    <x v="0"/>
    <m/>
  </r>
  <r>
    <x v="0"/>
    <x v="0"/>
    <x v="0"/>
    <s v="RESPONSIBILITY_PROCESS_REL"/>
    <s v="EFFECTIVE_RELATION_END_DATE"/>
    <x v="0"/>
    <s v="1. Concluído"/>
    <m/>
    <m/>
    <m/>
    <m/>
    <s v=""/>
    <s v=""/>
    <s v=""/>
    <m/>
    <m/>
    <m/>
    <m/>
    <m/>
    <x v="0"/>
    <m/>
  </r>
  <r>
    <x v="0"/>
    <x v="0"/>
    <x v="0"/>
    <s v="RESPONSIBILITY_PROCESS_REL"/>
    <s v="RELATION_START_DATE"/>
    <x v="0"/>
    <s v="1. Concluído"/>
    <m/>
    <m/>
    <m/>
    <m/>
    <s v=""/>
    <s v=""/>
    <s v=""/>
    <m/>
    <m/>
    <m/>
    <m/>
    <m/>
    <x v="0"/>
    <m/>
  </r>
  <r>
    <x v="0"/>
    <x v="0"/>
    <x v="0"/>
    <s v="RESPONSIBILITY_PROCESS_REL"/>
    <s v="ESTABLISHED_RELATION_END_DATE"/>
    <x v="0"/>
    <s v="1. Concluído"/>
    <m/>
    <m/>
    <m/>
    <m/>
    <s v=""/>
    <s v=""/>
    <s v=""/>
    <m/>
    <m/>
    <m/>
    <m/>
    <m/>
    <x v="0"/>
    <m/>
  </r>
  <r>
    <x v="0"/>
    <x v="0"/>
    <x v="0"/>
    <s v="RESPONSIBILITY_PROCESS_REL"/>
    <s v="idetgar"/>
    <x v="4"/>
    <s v="0. Cancelado"/>
    <m/>
    <m/>
    <m/>
    <m/>
    <s v=""/>
    <s v=""/>
    <s v=""/>
    <m/>
    <m/>
    <m/>
    <m/>
    <m/>
    <x v="0"/>
    <m/>
  </r>
  <r>
    <x v="0"/>
    <x v="0"/>
    <x v="0"/>
    <s v="RESPONSIBILITY_PROCESS_REL"/>
    <s v="num_prop"/>
    <x v="4"/>
    <s v="0. Cancelado"/>
    <m/>
    <m/>
    <m/>
    <m/>
    <s v=""/>
    <s v=""/>
    <s v=""/>
    <m/>
    <m/>
    <m/>
    <m/>
    <m/>
    <x v="0"/>
    <m/>
  </r>
  <r>
    <x v="0"/>
    <x v="0"/>
    <x v="0"/>
    <s v="RESPONSIBILITY_PROCESS_REL"/>
    <s v="SOURCE_CODE"/>
    <x v="0"/>
    <s v="1. Concluído"/>
    <m/>
    <m/>
    <m/>
    <m/>
    <s v=""/>
    <s v=""/>
    <s v=""/>
    <m/>
    <m/>
    <m/>
    <m/>
    <m/>
    <x v="0"/>
    <m/>
  </r>
  <r>
    <x v="0"/>
    <x v="0"/>
    <x v="0"/>
    <s v="RESPONSIBILITY_PROCESS_REL"/>
    <s v="DATA_DATE_PART"/>
    <x v="0"/>
    <s v="1. Concluído"/>
    <m/>
    <m/>
    <m/>
    <m/>
    <s v=""/>
    <s v=""/>
    <s v=""/>
    <m/>
    <m/>
    <m/>
    <m/>
    <m/>
    <x v="0"/>
    <m/>
  </r>
  <r>
    <x v="0"/>
    <x v="0"/>
    <x v="1"/>
    <s v="PROCESS_PROPERTY_REL"/>
    <s v="n.a."/>
    <x v="0"/>
    <s v="1. Concluído"/>
    <m/>
    <m/>
    <m/>
    <m/>
    <s v=""/>
    <s v=""/>
    <s v=""/>
    <m/>
    <m/>
    <m/>
    <m/>
    <m/>
    <x v="0"/>
    <m/>
  </r>
  <r>
    <x v="0"/>
    <x v="0"/>
    <x v="0"/>
    <s v="PROCESS_PROPERTY_REL"/>
    <s v="PROPERTY_BANK_ID"/>
    <x v="0"/>
    <s v="1. Concluído"/>
    <m/>
    <m/>
    <m/>
    <m/>
    <s v=""/>
    <s v=""/>
    <s v=""/>
    <m/>
    <m/>
    <m/>
    <m/>
    <m/>
    <x v="0"/>
    <m/>
  </r>
  <r>
    <x v="0"/>
    <x v="0"/>
    <x v="0"/>
    <s v="PROCESS_PROPERTY_REL"/>
    <s v="PROCESS_BANK_ID"/>
    <x v="0"/>
    <s v="1. Concluído"/>
    <m/>
    <m/>
    <m/>
    <m/>
    <s v=""/>
    <s v=""/>
    <s v=""/>
    <m/>
    <m/>
    <m/>
    <m/>
    <m/>
    <x v="0"/>
    <m/>
  </r>
  <r>
    <x v="0"/>
    <x v="0"/>
    <x v="0"/>
    <s v="PROCESS_PROPERTY_REL"/>
    <s v="PROPERTY_BRANCH_CODE"/>
    <x v="0"/>
    <s v="1. Concluído"/>
    <m/>
    <m/>
    <m/>
    <m/>
    <s v=""/>
    <s v=""/>
    <s v=""/>
    <m/>
    <m/>
    <m/>
    <m/>
    <m/>
    <x v="0"/>
    <m/>
  </r>
  <r>
    <x v="0"/>
    <x v="0"/>
    <x v="0"/>
    <s v="PROCESS_PROPERTY_REL"/>
    <s v="PROCESS_BRANCH_CODE"/>
    <x v="0"/>
    <s v="1. Concluído"/>
    <m/>
    <m/>
    <m/>
    <m/>
    <s v=""/>
    <s v=""/>
    <s v=""/>
    <m/>
    <m/>
    <m/>
    <m/>
    <m/>
    <x v="0"/>
    <m/>
  </r>
  <r>
    <x v="0"/>
    <x v="0"/>
    <x v="0"/>
    <s v="PROCESS_PROPERTY_REL"/>
    <s v="PROPERTY_CONTRACT_ID"/>
    <x v="0"/>
    <s v="1. Concluído"/>
    <m/>
    <m/>
    <m/>
    <m/>
    <s v=""/>
    <s v=""/>
    <s v=""/>
    <m/>
    <m/>
    <m/>
    <m/>
    <m/>
    <x v="0"/>
    <m/>
  </r>
  <r>
    <x v="0"/>
    <x v="0"/>
    <x v="0"/>
    <s v="PROCESS_PROPERTY_REL"/>
    <s v="PROCESS_ACCOUNT_ID"/>
    <x v="0"/>
    <s v="1. Concluído"/>
    <m/>
    <m/>
    <m/>
    <m/>
    <s v=""/>
    <s v=""/>
    <s v=""/>
    <m/>
    <m/>
    <m/>
    <m/>
    <m/>
    <x v="0"/>
    <m/>
  </r>
  <r>
    <x v="0"/>
    <x v="0"/>
    <x v="0"/>
    <s v="PROCESS_PROPERTY_REL"/>
    <s v="PROPERTY_REFERENCE_CODE"/>
    <x v="0"/>
    <s v="1. Concluído"/>
    <m/>
    <m/>
    <m/>
    <m/>
    <s v=""/>
    <s v=""/>
    <s v=""/>
    <m/>
    <m/>
    <m/>
    <m/>
    <m/>
    <x v="0"/>
    <m/>
  </r>
  <r>
    <x v="0"/>
    <x v="0"/>
    <x v="0"/>
    <s v="PROCESS_PROPERTY_REL"/>
    <s v="PROCESS_REFERENCE_CODE"/>
    <x v="0"/>
    <s v="1. Concluído"/>
    <m/>
    <m/>
    <m/>
    <m/>
    <s v=""/>
    <s v=""/>
    <s v=""/>
    <m/>
    <m/>
    <m/>
    <m/>
    <m/>
    <x v="0"/>
    <m/>
  </r>
  <r>
    <x v="0"/>
    <x v="0"/>
    <x v="0"/>
    <s v="PROCESS_PROPERTY_REL"/>
    <s v="data_assc"/>
    <x v="4"/>
    <s v="0. Cancelado"/>
    <m/>
    <m/>
    <m/>
    <m/>
    <s v=""/>
    <s v=""/>
    <s v=""/>
    <m/>
    <m/>
    <m/>
    <m/>
    <m/>
    <x v="0"/>
    <m/>
  </r>
  <r>
    <x v="0"/>
    <x v="0"/>
    <x v="0"/>
    <s v="PROCESS_PROPERTY_REL"/>
    <s v="SEIZED_PROPERTY_IND"/>
    <x v="0"/>
    <s v="1. Concluído"/>
    <m/>
    <m/>
    <m/>
    <m/>
    <s v=""/>
    <s v=""/>
    <s v=""/>
    <m/>
    <m/>
    <m/>
    <m/>
    <m/>
    <x v="0"/>
    <m/>
  </r>
  <r>
    <x v="0"/>
    <x v="0"/>
    <x v="0"/>
    <s v="PROCESS_PROPERTY_REL"/>
    <s v="COLLATERAL_PROPERTY_IND"/>
    <x v="0"/>
    <s v="1. Concluído"/>
    <m/>
    <m/>
    <m/>
    <m/>
    <s v=""/>
    <s v=""/>
    <s v=""/>
    <m/>
    <m/>
    <m/>
    <m/>
    <m/>
    <x v="0"/>
    <m/>
  </r>
  <r>
    <x v="0"/>
    <x v="0"/>
    <x v="0"/>
    <s v="PROCESS_PROPERTY_REL"/>
    <s v="FINANCED_PROPERTY_IND"/>
    <x v="0"/>
    <s v="1. Concluído"/>
    <m/>
    <m/>
    <m/>
    <m/>
    <s v=""/>
    <s v=""/>
    <s v=""/>
    <m/>
    <m/>
    <m/>
    <m/>
    <m/>
    <x v="0"/>
    <m/>
  </r>
  <r>
    <x v="0"/>
    <x v="0"/>
    <x v="0"/>
    <s v="PROCESS_PROPERTY_REL"/>
    <s v="OWNED_PROPERTY_IND"/>
    <x v="0"/>
    <s v="1. Concluído"/>
    <m/>
    <m/>
    <m/>
    <m/>
    <s v=""/>
    <s v=""/>
    <s v=""/>
    <m/>
    <m/>
    <m/>
    <m/>
    <m/>
    <x v="0"/>
    <m/>
  </r>
  <r>
    <x v="0"/>
    <x v="0"/>
    <x v="0"/>
    <s v="PROCESS_PROPERTY_REL"/>
    <s v="SOURCE_CODE"/>
    <x v="0"/>
    <s v="1. Concluído"/>
    <m/>
    <m/>
    <m/>
    <m/>
    <s v=""/>
    <s v=""/>
    <s v=""/>
    <m/>
    <m/>
    <m/>
    <m/>
    <m/>
    <x v="0"/>
    <m/>
  </r>
  <r>
    <x v="0"/>
    <x v="0"/>
    <x v="0"/>
    <s v="PROCESS_PROPERTY_REL"/>
    <s v="DATA_DATE_PART"/>
    <x v="0"/>
    <s v="1. Concluído"/>
    <m/>
    <m/>
    <m/>
    <m/>
    <s v=""/>
    <s v=""/>
    <s v=""/>
    <m/>
    <m/>
    <m/>
    <m/>
    <m/>
    <x v="0"/>
    <m/>
  </r>
  <r>
    <x v="0"/>
    <x v="0"/>
    <x v="1"/>
    <s v="PROPERTY"/>
    <s v="n.a."/>
    <x v="0"/>
    <s v="1. Concluído"/>
    <m/>
    <m/>
    <m/>
    <m/>
    <s v=""/>
    <s v=""/>
    <s v=""/>
    <m/>
    <m/>
    <m/>
    <m/>
    <m/>
    <x v="0"/>
    <m/>
  </r>
  <r>
    <x v="0"/>
    <x v="0"/>
    <x v="0"/>
    <s v="PROPERTY"/>
    <s v="CONSTRUCTION_YEAR"/>
    <x v="0"/>
    <s v="1. Concluído"/>
    <m/>
    <m/>
    <m/>
    <m/>
    <s v=""/>
    <s v=""/>
    <s v=""/>
    <m/>
    <m/>
    <m/>
    <m/>
    <m/>
    <x v="0"/>
    <m/>
  </r>
  <r>
    <x v="0"/>
    <x v="0"/>
    <x v="0"/>
    <s v="PROPERTY"/>
    <s v="NET_FLOOR_AREA"/>
    <x v="0"/>
    <s v="1. Concluído"/>
    <m/>
    <m/>
    <m/>
    <m/>
    <s v=""/>
    <s v=""/>
    <s v=""/>
    <m/>
    <m/>
    <m/>
    <m/>
    <m/>
    <x v="0"/>
    <m/>
  </r>
  <r>
    <x v="0"/>
    <x v="0"/>
    <x v="0"/>
    <s v="PROPERTY"/>
    <s v="PROPERTY_BANK_ID"/>
    <x v="0"/>
    <s v="1. Concluído"/>
    <m/>
    <m/>
    <m/>
    <m/>
    <s v=""/>
    <s v=""/>
    <s v=""/>
    <m/>
    <m/>
    <m/>
    <m/>
    <m/>
    <x v="0"/>
    <m/>
  </r>
  <r>
    <x v="0"/>
    <x v="0"/>
    <x v="0"/>
    <s v="PROPERTY"/>
    <s v="PROPERTY_BRANCH_CODE"/>
    <x v="0"/>
    <s v="1. Concluído"/>
    <m/>
    <m/>
    <m/>
    <m/>
    <s v=""/>
    <s v=""/>
    <s v=""/>
    <m/>
    <m/>
    <m/>
    <m/>
    <m/>
    <x v="0"/>
    <m/>
  </r>
  <r>
    <x v="0"/>
    <x v="0"/>
    <x v="0"/>
    <s v="PROPERTY"/>
    <s v="PROPERTY_CONTRACT_ID"/>
    <x v="0"/>
    <s v="1. Concluído"/>
    <m/>
    <m/>
    <m/>
    <m/>
    <s v=""/>
    <s v=""/>
    <s v=""/>
    <m/>
    <m/>
    <m/>
    <m/>
    <m/>
    <x v="0"/>
    <m/>
  </r>
  <r>
    <x v="0"/>
    <x v="0"/>
    <x v="0"/>
    <s v="PROPERTY"/>
    <s v="PROPERTY_REFERENCE_CODE"/>
    <x v="0"/>
    <s v="1. Concluído"/>
    <m/>
    <m/>
    <m/>
    <m/>
    <s v=""/>
    <s v=""/>
    <s v=""/>
    <m/>
    <m/>
    <m/>
    <m/>
    <m/>
    <x v="0"/>
    <m/>
  </r>
  <r>
    <x v="0"/>
    <x v="0"/>
    <x v="0"/>
    <s v="PROPERTY"/>
    <s v="CADASTRAL_REGISTER_CODE"/>
    <x v="0"/>
    <s v="1. Concluído"/>
    <m/>
    <m/>
    <m/>
    <m/>
    <s v=""/>
    <s v=""/>
    <s v=""/>
    <m/>
    <m/>
    <m/>
    <m/>
    <m/>
    <x v="0"/>
    <m/>
  </r>
  <r>
    <x v="0"/>
    <x v="0"/>
    <x v="0"/>
    <s v="PROPERTY"/>
    <s v="APPRAISAL_CODE"/>
    <x v="0"/>
    <s v="1. Concluído"/>
    <m/>
    <m/>
    <m/>
    <m/>
    <s v=""/>
    <s v=""/>
    <s v=""/>
    <m/>
    <m/>
    <m/>
    <m/>
    <m/>
    <x v="0"/>
    <m/>
  </r>
  <r>
    <x v="0"/>
    <x v="0"/>
    <x v="0"/>
    <s v="PROPERTY"/>
    <s v="cod_bem"/>
    <x v="4"/>
    <s v="0. Cancelado"/>
    <m/>
    <m/>
    <m/>
    <m/>
    <s v=""/>
    <s v=""/>
    <s v=""/>
    <m/>
    <m/>
    <m/>
    <m/>
    <m/>
    <x v="0"/>
    <m/>
  </r>
  <r>
    <x v="0"/>
    <x v="0"/>
    <x v="0"/>
    <s v="PROPERTY"/>
    <s v="DISTRICT_MUNICIP_PARISH_CODE"/>
    <x v="0"/>
    <s v="1. Concluído"/>
    <m/>
    <m/>
    <m/>
    <m/>
    <s v=""/>
    <s v=""/>
    <s v=""/>
    <m/>
    <m/>
    <m/>
    <m/>
    <m/>
    <x v="0"/>
    <m/>
  </r>
  <r>
    <x v="0"/>
    <x v="0"/>
    <x v="0"/>
    <s v="PROPERTY"/>
    <s v="PROPERTY_PURPOSE_CODE"/>
    <x v="0"/>
    <s v="1. Concluído"/>
    <m/>
    <m/>
    <m/>
    <m/>
    <s v=""/>
    <s v=""/>
    <s v=""/>
    <m/>
    <m/>
    <m/>
    <m/>
    <m/>
    <x v="0"/>
    <m/>
  </r>
  <r>
    <x v="0"/>
    <x v="0"/>
    <x v="0"/>
    <s v="PROPERTY"/>
    <s v="PROPERTY_LIFETIME_CODE"/>
    <x v="0"/>
    <s v="1. Concluído"/>
    <m/>
    <m/>
    <m/>
    <m/>
    <s v=""/>
    <s v=""/>
    <s v=""/>
    <m/>
    <m/>
    <m/>
    <m/>
    <m/>
    <x v="0"/>
    <m/>
  </r>
  <r>
    <x v="0"/>
    <x v="0"/>
    <x v="0"/>
    <s v="PROPERTY"/>
    <s v="ADDRESS_CODE"/>
    <x v="0"/>
    <s v="1. Concluído"/>
    <m/>
    <m/>
    <m/>
    <m/>
    <s v=""/>
    <s v=""/>
    <s v=""/>
    <m/>
    <m/>
    <m/>
    <m/>
    <m/>
    <x v="0"/>
    <m/>
  </r>
  <r>
    <x v="0"/>
    <x v="0"/>
    <x v="0"/>
    <s v="PROPERTY"/>
    <s v="COUNTRY_CODE"/>
    <x v="0"/>
    <s v="1. Concluído"/>
    <m/>
    <m/>
    <m/>
    <m/>
    <s v=""/>
    <s v=""/>
    <s v=""/>
    <m/>
    <m/>
    <m/>
    <m/>
    <m/>
    <x v="0"/>
    <m/>
  </r>
  <r>
    <x v="0"/>
    <x v="0"/>
    <x v="0"/>
    <s v="PROPERTY"/>
    <s v="POSTAL_CODE"/>
    <x v="0"/>
    <s v="1. Concluído"/>
    <m/>
    <m/>
    <m/>
    <m/>
    <s v=""/>
    <s v=""/>
    <s v=""/>
    <m/>
    <m/>
    <m/>
    <m/>
    <m/>
    <x v="0"/>
    <m/>
  </r>
  <r>
    <x v="0"/>
    <x v="0"/>
    <x v="0"/>
    <s v="PROPERTY"/>
    <s v="PROPERTY_TYPE_CODE"/>
    <x v="0"/>
    <s v="1. Concluído"/>
    <m/>
    <m/>
    <m/>
    <m/>
    <s v=""/>
    <s v=""/>
    <s v=""/>
    <m/>
    <m/>
    <m/>
    <m/>
    <m/>
    <x v="0"/>
    <m/>
  </r>
  <r>
    <x v="0"/>
    <x v="0"/>
    <x v="0"/>
    <s v="PROPERTY"/>
    <s v="LAST_APPRAISAL_DATE"/>
    <x v="0"/>
    <s v="1. Concluído"/>
    <m/>
    <m/>
    <m/>
    <m/>
    <s v=""/>
    <s v=""/>
    <s v=""/>
    <m/>
    <m/>
    <m/>
    <m/>
    <m/>
    <x v="0"/>
    <m/>
  </r>
  <r>
    <x v="0"/>
    <x v="0"/>
    <x v="0"/>
    <s v="PROPERTY"/>
    <s v="USAGE_PERMIT_START_DATE"/>
    <x v="0"/>
    <s v="1. Concluído"/>
    <m/>
    <m/>
    <m/>
    <m/>
    <s v=""/>
    <s v=""/>
    <s v=""/>
    <m/>
    <m/>
    <m/>
    <m/>
    <m/>
    <x v="0"/>
    <m/>
  </r>
  <r>
    <x v="0"/>
    <x v="0"/>
    <x v="0"/>
    <s v="PROPERTY"/>
    <s v="CONSERVATORY_REG_FILE_ID"/>
    <x v="0"/>
    <s v="1. Concluído"/>
    <m/>
    <m/>
    <m/>
    <m/>
    <s v=""/>
    <s v=""/>
    <s v=""/>
    <m/>
    <m/>
    <m/>
    <m/>
    <m/>
    <x v="0"/>
    <m/>
  </r>
  <r>
    <x v="0"/>
    <x v="0"/>
    <x v="0"/>
    <s v="PROPERTY"/>
    <s v="FLOOR_NUMBER"/>
    <x v="0"/>
    <s v="1. Concluído"/>
    <m/>
    <m/>
    <m/>
    <m/>
    <s v=""/>
    <s v=""/>
    <s v=""/>
    <m/>
    <m/>
    <m/>
    <m/>
    <m/>
    <x v="0"/>
    <m/>
  </r>
  <r>
    <x v="0"/>
    <x v="0"/>
    <x v="0"/>
    <s v="PROPERTY"/>
    <s v="LOCALITY"/>
    <x v="0"/>
    <s v="1. Concluído"/>
    <m/>
    <m/>
    <m/>
    <m/>
    <s v=""/>
    <s v=""/>
    <s v=""/>
    <m/>
    <m/>
    <m/>
    <m/>
    <m/>
    <x v="0"/>
    <m/>
  </r>
  <r>
    <x v="0"/>
    <x v="0"/>
    <x v="0"/>
    <s v="PROPERTY"/>
    <s v="PROPERTY_LOT"/>
    <x v="0"/>
    <s v="1. Concluído"/>
    <m/>
    <m/>
    <m/>
    <m/>
    <s v=""/>
    <s v=""/>
    <s v=""/>
    <m/>
    <m/>
    <m/>
    <m/>
    <m/>
    <x v="0"/>
    <m/>
  </r>
  <r>
    <x v="0"/>
    <x v="0"/>
    <x v="0"/>
    <s v="PROPERTY"/>
    <s v="LAST_APPRAISAL_AMOUNT"/>
    <x v="0"/>
    <s v="1. Concluído"/>
    <m/>
    <m/>
    <m/>
    <m/>
    <s v=""/>
    <s v=""/>
    <s v=""/>
    <m/>
    <m/>
    <m/>
    <m/>
    <m/>
    <x v="0"/>
    <m/>
  </r>
  <r>
    <x v="0"/>
    <x v="0"/>
    <x v="0"/>
    <s v="PROPERTY"/>
    <s v="NET_APPRAISAL_AMOUNT"/>
    <x v="0"/>
    <s v="1. Concluído"/>
    <m/>
    <m/>
    <m/>
    <m/>
    <s v=""/>
    <s v=""/>
    <s v=""/>
    <m/>
    <m/>
    <m/>
    <m/>
    <m/>
    <x v="0"/>
    <m/>
  </r>
  <r>
    <x v="0"/>
    <x v="0"/>
    <x v="0"/>
    <s v="PROPERTY"/>
    <s v="COLLATERAL_FAST_SALE_AMOUNT"/>
    <x v="0"/>
    <s v="1. Concluído"/>
    <m/>
    <m/>
    <m/>
    <m/>
    <s v=""/>
    <s v=""/>
    <s v=""/>
    <m/>
    <m/>
    <m/>
    <m/>
    <m/>
    <x v="0"/>
    <m/>
  </r>
  <r>
    <x v="0"/>
    <x v="0"/>
    <x v="0"/>
    <s v="PROPERTY"/>
    <s v="ADDRESS"/>
    <x v="0"/>
    <s v="1. Concluído"/>
    <m/>
    <m/>
    <m/>
    <m/>
    <s v=""/>
    <s v=""/>
    <s v=""/>
    <m/>
    <m/>
    <m/>
    <m/>
    <m/>
    <x v="0"/>
    <m/>
  </r>
  <r>
    <x v="0"/>
    <x v="0"/>
    <x v="0"/>
    <s v="PROPERTY"/>
    <s v="PROPERTY_NUMBER"/>
    <x v="0"/>
    <s v="1. Concluído"/>
    <m/>
    <m/>
    <m/>
    <m/>
    <s v=""/>
    <s v=""/>
    <s v=""/>
    <m/>
    <m/>
    <m/>
    <m/>
    <m/>
    <x v="0"/>
    <m/>
  </r>
  <r>
    <x v="0"/>
    <x v="0"/>
    <x v="0"/>
    <s v="PROPERTY"/>
    <s v="Origem"/>
    <x v="4"/>
    <s v="0. Cancelado"/>
    <m/>
    <m/>
    <m/>
    <m/>
    <s v=""/>
    <s v=""/>
    <s v=""/>
    <m/>
    <m/>
    <m/>
    <m/>
    <m/>
    <x v="0"/>
    <m/>
  </r>
  <r>
    <x v="0"/>
    <x v="0"/>
    <x v="0"/>
    <s v="PROPERTY"/>
    <s v="CURRENT_CONSTRUCTION_PCT"/>
    <x v="0"/>
    <s v="1. Concluído"/>
    <m/>
    <m/>
    <m/>
    <m/>
    <s v=""/>
    <s v=""/>
    <s v=""/>
    <m/>
    <m/>
    <m/>
    <m/>
    <m/>
    <x v="0"/>
    <m/>
  </r>
  <r>
    <x v="0"/>
    <x v="0"/>
    <x v="0"/>
    <s v="PROPERTY"/>
    <s v="CONSTRUCTION_COMPLETED_PCT"/>
    <x v="0"/>
    <s v="1. Concluído"/>
    <m/>
    <m/>
    <m/>
    <m/>
    <s v=""/>
    <s v=""/>
    <s v=""/>
    <m/>
    <m/>
    <m/>
    <m/>
    <m/>
    <x v="0"/>
    <m/>
  </r>
  <r>
    <x v="0"/>
    <x v="0"/>
    <x v="0"/>
    <s v="PROPERTY"/>
    <s v="DATA_DATE_PART"/>
    <x v="0"/>
    <s v="1. Concluído"/>
    <m/>
    <m/>
    <m/>
    <m/>
    <s v=""/>
    <s v=""/>
    <s v=""/>
    <m/>
    <m/>
    <m/>
    <m/>
    <m/>
    <x v="0"/>
    <m/>
  </r>
  <r>
    <x v="0"/>
    <x v="0"/>
    <x v="0"/>
    <s v="PROPERTY"/>
    <s v="PROPERTY_CODE"/>
    <x v="0"/>
    <s v="1. Concluído"/>
    <m/>
    <m/>
    <m/>
    <m/>
    <s v=""/>
    <s v=""/>
    <s v=""/>
    <m/>
    <m/>
    <m/>
    <m/>
    <m/>
    <x v="0"/>
    <m/>
  </r>
  <r>
    <x v="0"/>
    <x v="0"/>
    <x v="0"/>
    <s v="PROPERTY"/>
    <s v="URBANIZATION"/>
    <x v="0"/>
    <s v="1. Concluído"/>
    <m/>
    <m/>
    <m/>
    <m/>
    <s v=""/>
    <s v=""/>
    <s v=""/>
    <m/>
    <m/>
    <m/>
    <m/>
    <m/>
    <x v="0"/>
    <m/>
  </r>
  <r>
    <x v="0"/>
    <x v="0"/>
    <x v="1"/>
    <s v="PROPERTY_ENERGY_CERTIFICATE"/>
    <s v="n.a."/>
    <x v="0"/>
    <s v="1. Concluído"/>
    <m/>
    <m/>
    <m/>
    <m/>
    <s v=""/>
    <s v=""/>
    <s v=""/>
    <m/>
    <m/>
    <m/>
    <m/>
    <m/>
    <x v="0"/>
    <m/>
  </r>
  <r>
    <x v="0"/>
    <x v="0"/>
    <x v="0"/>
    <s v="PROPERTY_ENERGY_CERTIFICATE"/>
    <s v="PROPERTY_BANK_ID"/>
    <x v="0"/>
    <s v="1. Concluído"/>
    <m/>
    <m/>
    <m/>
    <m/>
    <s v=""/>
    <s v=""/>
    <s v=""/>
    <m/>
    <m/>
    <m/>
    <m/>
    <m/>
    <x v="0"/>
    <m/>
  </r>
  <r>
    <x v="0"/>
    <x v="0"/>
    <x v="0"/>
    <s v="PROPERTY_ENERGY_CERTIFICATE"/>
    <s v="PROPERTY_BRANCH_CODE"/>
    <x v="0"/>
    <s v="1. Concluído"/>
    <m/>
    <m/>
    <m/>
    <m/>
    <s v=""/>
    <s v=""/>
    <s v=""/>
    <m/>
    <m/>
    <m/>
    <m/>
    <m/>
    <x v="0"/>
    <m/>
  </r>
  <r>
    <x v="0"/>
    <x v="0"/>
    <x v="0"/>
    <s v="PROPERTY_ENERGY_CERTIFICATE"/>
    <s v="PROPERTY_CONTRACT_ID"/>
    <x v="0"/>
    <s v="1. Concluído"/>
    <m/>
    <m/>
    <m/>
    <m/>
    <s v=""/>
    <s v=""/>
    <s v=""/>
    <m/>
    <m/>
    <m/>
    <m/>
    <m/>
    <x v="0"/>
    <m/>
  </r>
  <r>
    <x v="0"/>
    <x v="0"/>
    <x v="0"/>
    <s v="PROPERTY_ENERGY_CERTIFICATE"/>
    <s v="PROPERTY_REFERENCE_CODE"/>
    <x v="0"/>
    <s v="1. Concluído"/>
    <m/>
    <m/>
    <m/>
    <m/>
    <s v=""/>
    <s v=""/>
    <s v=""/>
    <m/>
    <m/>
    <m/>
    <m/>
    <m/>
    <x v="0"/>
    <m/>
  </r>
  <r>
    <x v="0"/>
    <x v="0"/>
    <x v="0"/>
    <s v="PROPERTY_ENERGY_CERTIFICATE"/>
    <s v="LAND_REGISTRY_OFFICE_CODE"/>
    <x v="0"/>
    <s v="1. Concluído"/>
    <m/>
    <m/>
    <m/>
    <m/>
    <s v=""/>
    <s v=""/>
    <s v=""/>
    <m/>
    <m/>
    <m/>
    <m/>
    <m/>
    <x v="0"/>
    <m/>
  </r>
  <r>
    <x v="0"/>
    <x v="0"/>
    <x v="0"/>
    <s v="PROPERTY_ENERGY_CERTIFICATE"/>
    <s v="PROPERTY_IDENTIFICATION_CODE"/>
    <x v="0"/>
    <s v="1. Concluído"/>
    <m/>
    <m/>
    <m/>
    <m/>
    <s v=""/>
    <s v=""/>
    <s v=""/>
    <m/>
    <m/>
    <m/>
    <m/>
    <m/>
    <x v="0"/>
    <m/>
  </r>
  <r>
    <x v="0"/>
    <x v="0"/>
    <x v="0"/>
    <s v="PROPERTY_ENERGY_CERTIFICATE"/>
    <s v="ENERGY_CERTIFICATION_SYSTEM_CODE"/>
    <x v="0"/>
    <s v="1. Concluído"/>
    <m/>
    <m/>
    <m/>
    <m/>
    <s v=""/>
    <s v=""/>
    <s v=""/>
    <m/>
    <m/>
    <m/>
    <m/>
    <m/>
    <x v="0"/>
    <m/>
  </r>
  <r>
    <x v="0"/>
    <x v="0"/>
    <x v="0"/>
    <s v="PROPERTY_ENERGY_CERTIFICATE"/>
    <s v="EPC_ISSUING_DATE"/>
    <x v="0"/>
    <s v="1. Concluído"/>
    <m/>
    <m/>
    <m/>
    <m/>
    <s v=""/>
    <s v=""/>
    <s v=""/>
    <m/>
    <m/>
    <m/>
    <m/>
    <m/>
    <x v="0"/>
    <m/>
  </r>
  <r>
    <x v="0"/>
    <x v="0"/>
    <x v="0"/>
    <s v="PROPERTY_ENERGY_CERTIFICATE"/>
    <s v="EPC_EXPIRATION_DATE"/>
    <x v="0"/>
    <s v="1. Concluído"/>
    <m/>
    <m/>
    <m/>
    <m/>
    <s v=""/>
    <s v=""/>
    <s v=""/>
    <m/>
    <m/>
    <m/>
    <m/>
    <m/>
    <x v="0"/>
    <m/>
  </r>
  <r>
    <x v="0"/>
    <x v="0"/>
    <x v="0"/>
    <s v="PROPERTY_ENERGY_CERTIFICATE"/>
    <s v="ENERGY_CONSUMPTION_TYPE_S_IND"/>
    <x v="0"/>
    <s v="1. Concluído"/>
    <m/>
    <m/>
    <m/>
    <m/>
    <s v=""/>
    <s v=""/>
    <s v=""/>
    <m/>
    <m/>
    <m/>
    <m/>
    <m/>
    <x v="0"/>
    <m/>
  </r>
  <r>
    <x v="0"/>
    <x v="0"/>
    <x v="0"/>
    <s v="PROPERTY_ENERGY_CERTIFICATE"/>
    <s v="ENERGY_CONSUMPTION_TYPE_T_IND"/>
    <x v="0"/>
    <s v="1. Concluído"/>
    <m/>
    <m/>
    <m/>
    <m/>
    <s v=""/>
    <s v=""/>
    <s v=""/>
    <m/>
    <m/>
    <m/>
    <m/>
    <m/>
    <x v="0"/>
    <m/>
  </r>
  <r>
    <x v="0"/>
    <x v="0"/>
    <x v="0"/>
    <s v="PROPERTY_ENERGY_CERTIFICATE"/>
    <s v="ENERGY_EFFICIENCY_IND"/>
    <x v="0"/>
    <s v="1. Concluído"/>
    <m/>
    <m/>
    <m/>
    <m/>
    <s v=""/>
    <s v=""/>
    <s v=""/>
    <m/>
    <m/>
    <m/>
    <m/>
    <m/>
    <x v="0"/>
    <m/>
  </r>
  <r>
    <x v="0"/>
    <x v="0"/>
    <x v="0"/>
    <s v="PROPERTY_ENERGY_CERTIFICATE"/>
    <s v="REN_ENERGY_EFFICIENCY_IND"/>
    <x v="0"/>
    <s v="1. Concluído"/>
    <m/>
    <m/>
    <m/>
    <m/>
    <s v=""/>
    <s v=""/>
    <s v=""/>
    <m/>
    <m/>
    <m/>
    <m/>
    <m/>
    <x v="0"/>
    <m/>
  </r>
  <r>
    <x v="0"/>
    <x v="0"/>
    <x v="0"/>
    <s v="PROPERTY_ENERGY_CERTIFICATE"/>
    <s v="NZEB_IND"/>
    <x v="0"/>
    <s v="1. Concluído"/>
    <m/>
    <m/>
    <m/>
    <m/>
    <s v=""/>
    <s v=""/>
    <s v=""/>
    <m/>
    <m/>
    <m/>
    <m/>
    <m/>
    <x v="0"/>
    <m/>
  </r>
  <r>
    <x v="0"/>
    <x v="0"/>
    <x v="0"/>
    <s v="PROPERTY_ENERGY_CERTIFICATE"/>
    <s v="QUALITY_SCORE"/>
    <x v="0"/>
    <s v="1. Concluído"/>
    <m/>
    <m/>
    <m/>
    <m/>
    <s v=""/>
    <s v=""/>
    <s v=""/>
    <m/>
    <m/>
    <m/>
    <m/>
    <m/>
    <x v="0"/>
    <m/>
  </r>
  <r>
    <x v="0"/>
    <x v="0"/>
    <x v="0"/>
    <s v="PROPERTY_ENERGY_CERTIFICATE"/>
    <s v="SOURCE_CODE"/>
    <x v="0"/>
    <s v="1. Concluído"/>
    <m/>
    <m/>
    <m/>
    <m/>
    <s v=""/>
    <s v=""/>
    <s v=""/>
    <m/>
    <m/>
    <m/>
    <m/>
    <m/>
    <x v="0"/>
    <m/>
  </r>
  <r>
    <x v="0"/>
    <x v="0"/>
    <x v="0"/>
    <s v="PROPERTY_ENERGY_CERTIFICATE"/>
    <s v="DATA_DATE_PART"/>
    <x v="0"/>
    <s v="1. Concluído"/>
    <m/>
    <m/>
    <m/>
    <m/>
    <s v=""/>
    <s v=""/>
    <s v=""/>
    <m/>
    <m/>
    <m/>
    <m/>
    <m/>
    <x v="0"/>
    <m/>
  </r>
  <r>
    <x v="0"/>
    <x v="0"/>
    <x v="0"/>
    <s v="PROPERTY_ENERGY_CERTIFICATE"/>
    <s v="CERTIFICATE_TYPE"/>
    <x v="0"/>
    <s v="1. Concluído"/>
    <m/>
    <m/>
    <m/>
    <m/>
    <s v=""/>
    <s v=""/>
    <s v=""/>
    <m/>
    <m/>
    <m/>
    <m/>
    <m/>
    <x v="0"/>
    <m/>
  </r>
  <r>
    <x v="0"/>
    <x v="0"/>
    <x v="0"/>
    <s v="PROPERTY_ENERGY_CERTIFICATE"/>
    <s v="BUILDING_DOMEST_HOTWATER_VALUE"/>
    <x v="0"/>
    <s v="1. Concluído"/>
    <m/>
    <m/>
    <m/>
    <m/>
    <s v=""/>
    <s v=""/>
    <s v=""/>
    <m/>
    <m/>
    <m/>
    <m/>
    <m/>
    <x v="0"/>
    <m/>
  </r>
  <r>
    <x v="0"/>
    <x v="0"/>
    <x v="0"/>
    <s v="PROPERTY_ENERGY_CERTIFICATE"/>
    <s v="RENEWABLE_DOMEST_HOTWATER_VALUE"/>
    <x v="0"/>
    <s v="1. Concluído"/>
    <m/>
    <m/>
    <m/>
    <m/>
    <s v=""/>
    <s v=""/>
    <s v=""/>
    <m/>
    <m/>
    <m/>
    <m/>
    <m/>
    <x v="0"/>
    <m/>
  </r>
  <r>
    <x v="0"/>
    <x v="0"/>
    <x v="0"/>
    <s v="PROPERTY_ENERGY_CERTIFICATE"/>
    <s v="DOMEST_HOTWATER_REF_VALUE"/>
    <x v="0"/>
    <s v="1. Concluído"/>
    <m/>
    <m/>
    <m/>
    <m/>
    <s v=""/>
    <s v=""/>
    <s v=""/>
    <m/>
    <m/>
    <m/>
    <m/>
    <m/>
    <x v="0"/>
    <m/>
  </r>
  <r>
    <x v="0"/>
    <x v="0"/>
    <x v="0"/>
    <s v="PROPERTY_ENERGY_CERTIFICATE"/>
    <s v="HEIGHT"/>
    <x v="0"/>
    <s v="1. Concluído"/>
    <m/>
    <m/>
    <m/>
    <m/>
    <s v=""/>
    <s v=""/>
    <s v=""/>
    <m/>
    <m/>
    <m/>
    <m/>
    <m/>
    <x v="0"/>
    <m/>
  </r>
  <r>
    <x v="0"/>
    <x v="0"/>
    <x v="0"/>
    <s v="PROPERTY_ENERGY_CERTIFICATE"/>
    <s v="BUILDING_SPACE_HEATING_VALUE"/>
    <x v="0"/>
    <s v="1. Concluído"/>
    <m/>
    <m/>
    <m/>
    <m/>
    <s v=""/>
    <s v=""/>
    <s v=""/>
    <m/>
    <m/>
    <m/>
    <m/>
    <m/>
    <x v="0"/>
    <m/>
  </r>
  <r>
    <x v="0"/>
    <x v="0"/>
    <x v="0"/>
    <s v="PROPERTY_ENERGY_CERTIFICATE"/>
    <s v="SPACE_HEATING_REF_VALUE"/>
    <x v="0"/>
    <s v="1. Concluído"/>
    <m/>
    <m/>
    <m/>
    <m/>
    <s v=""/>
    <s v=""/>
    <s v=""/>
    <m/>
    <m/>
    <m/>
    <m/>
    <m/>
    <x v="0"/>
    <m/>
  </r>
  <r>
    <x v="0"/>
    <x v="0"/>
    <x v="0"/>
    <s v="PROPERTY_ENERGY_CERTIFICATE"/>
    <s v="RENEWABLE_SPACE_HEATING_VALUE"/>
    <x v="0"/>
    <s v="1. Concluído"/>
    <m/>
    <m/>
    <m/>
    <m/>
    <s v=""/>
    <s v=""/>
    <s v=""/>
    <m/>
    <m/>
    <m/>
    <m/>
    <m/>
    <x v="0"/>
    <m/>
  </r>
  <r>
    <x v="0"/>
    <x v="0"/>
    <x v="0"/>
    <s v="PROPERTY_ENERGY_CERTIFICATE"/>
    <s v="BUILDING_SPACE_COOLING_VALUE"/>
    <x v="0"/>
    <s v="1. Concluído"/>
    <m/>
    <m/>
    <m/>
    <m/>
    <s v=""/>
    <s v=""/>
    <s v=""/>
    <m/>
    <m/>
    <m/>
    <m/>
    <m/>
    <x v="0"/>
    <m/>
  </r>
  <r>
    <x v="0"/>
    <x v="0"/>
    <x v="0"/>
    <s v="PROPERTY_ENERGY_CERTIFICATE"/>
    <s v="RENEWABLE_SPACE_COOLING_VALUE"/>
    <x v="0"/>
    <s v="1. Concluído"/>
    <m/>
    <m/>
    <m/>
    <m/>
    <s v=""/>
    <s v=""/>
    <s v=""/>
    <m/>
    <m/>
    <m/>
    <m/>
    <m/>
    <x v="0"/>
    <m/>
  </r>
  <r>
    <x v="0"/>
    <x v="0"/>
    <x v="0"/>
    <s v="PROPERTY_ENERGY_CERTIFICATE"/>
    <s v="SPACE_COOLING_REF_VALUE"/>
    <x v="0"/>
    <s v="1. Concluído"/>
    <m/>
    <m/>
    <m/>
    <m/>
    <s v=""/>
    <s v=""/>
    <s v=""/>
    <m/>
    <m/>
    <m/>
    <m/>
    <m/>
    <x v="0"/>
    <m/>
  </r>
  <r>
    <x v="0"/>
    <x v="0"/>
    <x v="0"/>
    <s v="PROPERTY_ENERGY_CERTIFICATE"/>
    <s v="ENERGY_CLASS_AFTER_MEASUREMENT"/>
    <x v="0"/>
    <s v="1. Concluído"/>
    <m/>
    <m/>
    <m/>
    <m/>
    <s v=""/>
    <s v=""/>
    <s v=""/>
    <m/>
    <m/>
    <m/>
    <m/>
    <m/>
    <x v="0"/>
    <m/>
  </r>
  <r>
    <x v="0"/>
    <x v="0"/>
    <x v="0"/>
    <s v="PROPERTY_ENERGY_CERTIFICATE"/>
    <s v="THERMAL_BEHAVIOUR_ROOF"/>
    <x v="0"/>
    <s v="1. Concluído"/>
    <m/>
    <m/>
    <m/>
    <m/>
    <s v=""/>
    <s v=""/>
    <s v=""/>
    <m/>
    <m/>
    <m/>
    <m/>
    <m/>
    <x v="0"/>
    <m/>
  </r>
  <r>
    <x v="0"/>
    <x v="0"/>
    <x v="0"/>
    <s v="PROPERTY_ENERGY_CERTIFICATE"/>
    <s v="THERMAL_BEHAVIOUR_WINDOWS"/>
    <x v="0"/>
    <s v="1. Concluído"/>
    <m/>
    <m/>
    <m/>
    <m/>
    <s v=""/>
    <s v=""/>
    <s v=""/>
    <m/>
    <m/>
    <m/>
    <m/>
    <m/>
    <x v="0"/>
    <m/>
  </r>
  <r>
    <x v="0"/>
    <x v="0"/>
    <x v="0"/>
    <s v="PROPERTY_ENERGY_CERTIFICATE"/>
    <s v="THERMAL_BEHAVIOUR_WALL"/>
    <x v="0"/>
    <s v="1. Concluído"/>
    <m/>
    <m/>
    <m/>
    <m/>
    <s v=""/>
    <s v=""/>
    <s v=""/>
    <m/>
    <m/>
    <m/>
    <m/>
    <m/>
    <x v="0"/>
    <m/>
  </r>
  <r>
    <x v="0"/>
    <x v="0"/>
    <x v="0"/>
    <s v="PROPERTY_ENERGY_CERTIFICATE"/>
    <s v="THERMAL_BEHAVIOUR_FLOORS"/>
    <x v="0"/>
    <s v="1. Concluído"/>
    <m/>
    <m/>
    <m/>
    <m/>
    <s v=""/>
    <s v=""/>
    <s v=""/>
    <m/>
    <m/>
    <m/>
    <m/>
    <m/>
    <x v="0"/>
    <m/>
  </r>
  <r>
    <x v="0"/>
    <x v="0"/>
    <x v="0"/>
    <s v="PROPERTY_ENERGY_CERTIFICATE"/>
    <s v="THERMAL_BEHAVIOUR_TECH_SYS_VENT"/>
    <x v="0"/>
    <s v="1. Concluído"/>
    <m/>
    <m/>
    <m/>
    <m/>
    <s v=""/>
    <s v=""/>
    <s v=""/>
    <m/>
    <m/>
    <m/>
    <m/>
    <m/>
    <x v="0"/>
    <m/>
  </r>
  <r>
    <x v="0"/>
    <x v="0"/>
    <x v="0"/>
    <s v="PROPERTY_ENERGY_CERTIFICATE"/>
    <s v="TOTAL_INVSTMNT_ESTMTD_VALUE"/>
    <x v="0"/>
    <s v="1. Concluído"/>
    <m/>
    <m/>
    <m/>
    <m/>
    <s v=""/>
    <s v=""/>
    <s v=""/>
    <m/>
    <m/>
    <m/>
    <m/>
    <m/>
    <x v="0"/>
    <m/>
  </r>
  <r>
    <x v="0"/>
    <x v="0"/>
    <x v="0"/>
    <s v="PROPERTY_ENERGY_CERTIFICATE"/>
    <s v="DURATION_SUMMER"/>
    <x v="0"/>
    <s v="1. Concluído"/>
    <m/>
    <m/>
    <m/>
    <m/>
    <s v=""/>
    <s v=""/>
    <s v=""/>
    <m/>
    <m/>
    <m/>
    <m/>
    <m/>
    <x v="0"/>
    <m/>
  </r>
  <r>
    <x v="0"/>
    <x v="0"/>
    <x v="0"/>
    <s v="PROPERTY_ENERGY_CERTIFICATE"/>
    <s v="DURATION_WINTER"/>
    <x v="0"/>
    <s v="1. Concluído"/>
    <m/>
    <m/>
    <m/>
    <m/>
    <s v=""/>
    <s v=""/>
    <s v=""/>
    <m/>
    <m/>
    <m/>
    <m/>
    <m/>
    <x v="0"/>
    <m/>
  </r>
  <r>
    <x v="0"/>
    <x v="0"/>
    <x v="0"/>
    <s v="PROPERTY_ENERGY_CERTIFICATE"/>
    <s v="CARBON_EMISSION_VALUE"/>
    <x v="0"/>
    <s v="1. Concluído"/>
    <m/>
    <m/>
    <m/>
    <m/>
    <s v=""/>
    <s v=""/>
    <s v=""/>
    <m/>
    <m/>
    <m/>
    <m/>
    <m/>
    <x v="0"/>
    <m/>
  </r>
  <r>
    <x v="0"/>
    <x v="0"/>
    <x v="0"/>
    <s v="PROPERTY_ENERGY_CERTIFICATE"/>
    <s v="USEFUL_ENERGY_FANS_REQ_VALUE"/>
    <x v="0"/>
    <s v="1. Concluído"/>
    <m/>
    <m/>
    <m/>
    <m/>
    <s v=""/>
    <s v=""/>
    <s v=""/>
    <m/>
    <m/>
    <m/>
    <m/>
    <m/>
    <x v="0"/>
    <m/>
  </r>
  <r>
    <x v="0"/>
    <x v="0"/>
    <x v="0"/>
    <s v="PROPERTY_ENERGY_CERTIFICATE"/>
    <s v="REN_ENERGY_PRODUCED_OTHER_VALUE"/>
    <x v="0"/>
    <s v="1. Concluído"/>
    <m/>
    <m/>
    <m/>
    <m/>
    <s v=""/>
    <s v=""/>
    <s v=""/>
    <m/>
    <m/>
    <m/>
    <m/>
    <m/>
    <x v="0"/>
    <m/>
  </r>
  <r>
    <x v="0"/>
    <x v="0"/>
    <x v="0"/>
    <s v="PROPERTY_ENERGY_CERTIFICATE"/>
    <s v="REN_ENERGY_PRODUCED_REG_VALUE"/>
    <x v="0"/>
    <s v="1. Concluído"/>
    <m/>
    <m/>
    <m/>
    <m/>
    <s v=""/>
    <s v=""/>
    <s v=""/>
    <m/>
    <m/>
    <m/>
    <m/>
    <m/>
    <x v="0"/>
    <m/>
  </r>
  <r>
    <x v="0"/>
    <x v="0"/>
    <x v="0"/>
    <s v="PROPERTY_ENERGY_CERTIFICATE"/>
    <s v="REN_ENERGY_PRODUCED_VALUE"/>
    <x v="0"/>
    <s v="1. Concluído"/>
    <m/>
    <m/>
    <m/>
    <m/>
    <s v=""/>
    <s v=""/>
    <s v=""/>
    <m/>
    <m/>
    <m/>
    <m/>
    <m/>
    <x v="0"/>
    <m/>
  </r>
  <r>
    <x v="0"/>
    <x v="0"/>
    <x v="0"/>
    <s v="PROPERTY_ENERGY_CERTIFICATE"/>
    <s v="USEFUL_ENERGY_DOM_HOTWATER_VALUE"/>
    <x v="0"/>
    <s v="1. Concluído"/>
    <m/>
    <m/>
    <m/>
    <m/>
    <s v=""/>
    <s v=""/>
    <s v=""/>
    <m/>
    <m/>
    <m/>
    <m/>
    <m/>
    <x v="0"/>
    <m/>
  </r>
  <r>
    <x v="0"/>
    <x v="0"/>
    <x v="0"/>
    <s v="PROPERTY_ENERGY_CERTIFICATE"/>
    <s v="USEFUL_ENERGY_COOLING_VALUE"/>
    <x v="0"/>
    <s v="1. Concluído"/>
    <m/>
    <m/>
    <m/>
    <m/>
    <s v=""/>
    <s v=""/>
    <s v=""/>
    <m/>
    <m/>
    <m/>
    <m/>
    <m/>
    <x v="0"/>
    <m/>
  </r>
  <r>
    <x v="0"/>
    <x v="0"/>
    <x v="0"/>
    <s v="PROPERTY_ENERGY_CERTIFICATE"/>
    <s v="TEMPERATURE_DAY_VALUE"/>
    <x v="0"/>
    <s v="1. Concluído"/>
    <m/>
    <m/>
    <m/>
    <m/>
    <s v=""/>
    <s v=""/>
    <s v=""/>
    <m/>
    <m/>
    <m/>
    <m/>
    <m/>
    <x v="0"/>
    <m/>
  </r>
  <r>
    <x v="0"/>
    <x v="0"/>
    <x v="0"/>
    <s v="PROPERTY_ENERGY_CERTIFICATE"/>
    <s v="PRIMARY_ENERGY_REQ_VALUE"/>
    <x v="0"/>
    <s v="1. Concluído"/>
    <m/>
    <m/>
    <m/>
    <m/>
    <s v=""/>
    <s v=""/>
    <s v=""/>
    <m/>
    <m/>
    <m/>
    <m/>
    <m/>
    <x v="0"/>
    <m/>
  </r>
  <r>
    <x v="0"/>
    <x v="0"/>
    <x v="0"/>
    <s v="PROPERTY_ENERGY_CERTIFICATE"/>
    <s v="USEFUL_ENERGY_HEATING_REQ_VALUE"/>
    <x v="0"/>
    <s v="1. Concluído"/>
    <m/>
    <m/>
    <m/>
    <m/>
    <s v=""/>
    <s v=""/>
    <s v=""/>
    <m/>
    <m/>
    <m/>
    <m/>
    <m/>
    <x v="0"/>
    <m/>
  </r>
  <r>
    <x v="0"/>
    <x v="0"/>
    <x v="0"/>
    <s v="PROPERTY_ENERGY_CERTIFICATE"/>
    <s v="PNL_WINTER_WALLS_DOORS_VALUE"/>
    <x v="0"/>
    <s v="1. Concluído"/>
    <m/>
    <m/>
    <m/>
    <m/>
    <s v=""/>
    <s v=""/>
    <s v=""/>
    <m/>
    <m/>
    <m/>
    <m/>
    <m/>
    <x v="0"/>
    <m/>
  </r>
  <r>
    <x v="0"/>
    <x v="0"/>
    <x v="0"/>
    <s v="PROPERTY_ENERGY_CERTIFICATE"/>
    <s v="PNL_WINTER_FLOORS_VALUE"/>
    <x v="0"/>
    <s v="1. Concluído"/>
    <m/>
    <m/>
    <m/>
    <m/>
    <s v=""/>
    <s v=""/>
    <s v=""/>
    <m/>
    <m/>
    <m/>
    <m/>
    <m/>
    <x v="0"/>
    <m/>
  </r>
  <r>
    <x v="0"/>
    <x v="0"/>
    <x v="0"/>
    <s v="PROPERTY_ENERGY_CERTIFICATE"/>
    <s v="PNL_WINTER_ROOF_VALUE"/>
    <x v="0"/>
    <s v="1. Concluído"/>
    <m/>
    <m/>
    <m/>
    <m/>
    <s v=""/>
    <s v=""/>
    <s v=""/>
    <m/>
    <m/>
    <m/>
    <m/>
    <m/>
    <x v="0"/>
    <m/>
  </r>
  <r>
    <x v="0"/>
    <x v="0"/>
    <x v="0"/>
    <s v="PROPERTY_ENERGY_CERTIFICATE"/>
    <s v="PNL_WINTER_WINDOWS_VALUE"/>
    <x v="0"/>
    <s v="1. Concluído"/>
    <m/>
    <m/>
    <m/>
    <m/>
    <s v=""/>
    <s v=""/>
    <s v=""/>
    <m/>
    <m/>
    <m/>
    <m/>
    <m/>
    <x v="0"/>
    <m/>
  </r>
  <r>
    <x v="0"/>
    <x v="0"/>
    <x v="0"/>
    <s v="PROPERTY_ENERGY_CERTIFICATE"/>
    <s v="PNL_WINTER_REF_VALUE"/>
    <x v="0"/>
    <s v="1. Concluído"/>
    <m/>
    <m/>
    <m/>
    <m/>
    <s v=""/>
    <s v=""/>
    <s v=""/>
    <m/>
    <m/>
    <m/>
    <m/>
    <m/>
    <x v="0"/>
    <m/>
  </r>
  <r>
    <x v="0"/>
    <x v="0"/>
    <x v="0"/>
    <s v="PROPERTY_ENERGY_CERTIFICATE"/>
    <s v="PNL_WINTER_FANS_VALUE"/>
    <x v="0"/>
    <s v="1. Concluído"/>
    <m/>
    <m/>
    <m/>
    <m/>
    <s v=""/>
    <s v=""/>
    <s v=""/>
    <m/>
    <m/>
    <m/>
    <m/>
    <m/>
    <x v="0"/>
    <m/>
  </r>
  <r>
    <x v="0"/>
    <x v="0"/>
    <x v="0"/>
    <s v="PROPERTY_ENERGY_CERTIFICATE"/>
    <s v="PNL_SUMMER_ROOF_VALUE"/>
    <x v="0"/>
    <s v="1. Concluído"/>
    <m/>
    <m/>
    <m/>
    <m/>
    <s v=""/>
    <s v=""/>
    <s v=""/>
    <m/>
    <m/>
    <m/>
    <m/>
    <m/>
    <x v="0"/>
    <m/>
  </r>
  <r>
    <x v="0"/>
    <x v="0"/>
    <x v="0"/>
    <s v="PROPERTY_ENERGY_CERTIFICATE"/>
    <s v="PNL_SUMMER_WINDOWS_VALUE"/>
    <x v="0"/>
    <s v="1. Concluído"/>
    <m/>
    <m/>
    <m/>
    <m/>
    <s v=""/>
    <s v=""/>
    <s v=""/>
    <m/>
    <m/>
    <m/>
    <m/>
    <m/>
    <x v="0"/>
    <m/>
  </r>
  <r>
    <x v="0"/>
    <x v="0"/>
    <x v="0"/>
    <s v="PROPERTY_ENERGY_CERTIFICATE"/>
    <s v="PNL_SUMMER_WALLS_DOORS_VALUE"/>
    <x v="0"/>
    <s v="1. Concluído"/>
    <m/>
    <m/>
    <m/>
    <m/>
    <s v=""/>
    <s v=""/>
    <s v=""/>
    <m/>
    <m/>
    <m/>
    <m/>
    <m/>
    <x v="0"/>
    <m/>
  </r>
  <r>
    <x v="0"/>
    <x v="0"/>
    <x v="0"/>
    <s v="PROPERTY_ENERGY_CERTIFICATE"/>
    <s v="PNL_SUMMER_REF_VALUE"/>
    <x v="0"/>
    <s v="1. Concluído"/>
    <m/>
    <m/>
    <m/>
    <m/>
    <s v=""/>
    <s v=""/>
    <s v=""/>
    <m/>
    <m/>
    <m/>
    <m/>
    <m/>
    <x v="0"/>
    <m/>
  </r>
  <r>
    <x v="0"/>
    <x v="0"/>
    <x v="0"/>
    <s v="PROPERTY_ENERGY_CERTIFICATE"/>
    <s v="INVOICE_RED_ANNUAL_ESTMTD_VALUE"/>
    <x v="0"/>
    <s v="1. Concluído"/>
    <m/>
    <m/>
    <m/>
    <m/>
    <s v=""/>
    <s v=""/>
    <s v=""/>
    <m/>
    <m/>
    <m/>
    <m/>
    <m/>
    <x v="0"/>
    <m/>
  </r>
  <r>
    <x v="0"/>
    <x v="0"/>
    <x v="0"/>
    <s v="PROPERTY_ENERGY_CERTIFICATE"/>
    <s v="TEMPERATURE_OUTDOOR_AVG_VALUE"/>
    <x v="0"/>
    <s v="1. Concluído"/>
    <m/>
    <m/>
    <m/>
    <m/>
    <s v=""/>
    <s v=""/>
    <s v=""/>
    <m/>
    <m/>
    <m/>
    <m/>
    <m/>
    <x v="0"/>
    <m/>
  </r>
  <r>
    <x v="0"/>
    <x v="0"/>
    <x v="0"/>
    <s v="PROPERTY_ENERGY_CERTIFICATE"/>
    <s v="CLIMATE_ZONE_WINTER"/>
    <x v="0"/>
    <s v="1. Concluído"/>
    <m/>
    <m/>
    <m/>
    <m/>
    <s v=""/>
    <s v=""/>
    <s v=""/>
    <m/>
    <m/>
    <m/>
    <m/>
    <m/>
    <x v="0"/>
    <m/>
  </r>
  <r>
    <x v="0"/>
    <x v="0"/>
    <x v="0"/>
    <s v="PROPERTY_ENERGY_CERTIFICATE"/>
    <s v="NET_FLOOR_AREA"/>
    <x v="0"/>
    <s v="1. Concluído"/>
    <m/>
    <m/>
    <m/>
    <m/>
    <s v=""/>
    <s v=""/>
    <s v=""/>
    <m/>
    <m/>
    <m/>
    <m/>
    <m/>
    <x v="0"/>
    <m/>
  </r>
  <r>
    <x v="0"/>
    <x v="0"/>
    <x v="0"/>
    <s v="PROPERTY_ENERGY_CERTIFICATE"/>
    <s v="CADASTRAL_REGISTER_CODE"/>
    <x v="0"/>
    <s v="1. Concluído"/>
    <m/>
    <m/>
    <m/>
    <m/>
    <s v=""/>
    <s v=""/>
    <s v=""/>
    <m/>
    <m/>
    <m/>
    <m/>
    <m/>
    <x v="0"/>
    <m/>
  </r>
  <r>
    <x v="0"/>
    <x v="0"/>
    <x v="0"/>
    <s v="PROPERTY_ENERGY_CERTIFICATE"/>
    <s v="DISTRICT_MUNICIP_PARISH_CODE"/>
    <x v="0"/>
    <s v="1. Concluído"/>
    <m/>
    <m/>
    <m/>
    <m/>
    <s v=""/>
    <s v=""/>
    <s v=""/>
    <m/>
    <m/>
    <m/>
    <m/>
    <m/>
    <x v="0"/>
    <m/>
  </r>
  <r>
    <x v="0"/>
    <x v="0"/>
    <x v="0"/>
    <s v="PROPERTY_ENERGY_CERTIFICATE"/>
    <s v="PROPERTY_PURPOSE_CODE"/>
    <x v="0"/>
    <s v="1. Concluído"/>
    <m/>
    <m/>
    <m/>
    <m/>
    <s v=""/>
    <s v=""/>
    <s v=""/>
    <m/>
    <m/>
    <m/>
    <m/>
    <m/>
    <x v="0"/>
    <m/>
  </r>
  <r>
    <x v="0"/>
    <x v="0"/>
    <x v="0"/>
    <s v="PROPERTY_ENERGY_CERTIFICATE"/>
    <s v="ADDRESS_CODE"/>
    <x v="0"/>
    <s v="1. Concluído"/>
    <m/>
    <m/>
    <m/>
    <m/>
    <s v=""/>
    <s v=""/>
    <s v=""/>
    <m/>
    <m/>
    <m/>
    <m/>
    <m/>
    <x v="0"/>
    <m/>
  </r>
  <r>
    <x v="0"/>
    <x v="0"/>
    <x v="0"/>
    <s v="PROPERTY_ENERGY_CERTIFICATE"/>
    <s v="FLOOR_NUMBER"/>
    <x v="0"/>
    <s v="1. Concluído"/>
    <m/>
    <m/>
    <m/>
    <m/>
    <s v=""/>
    <s v=""/>
    <s v=""/>
    <m/>
    <m/>
    <m/>
    <m/>
    <m/>
    <x v="0"/>
    <m/>
  </r>
  <r>
    <x v="0"/>
    <x v="0"/>
    <x v="0"/>
    <s v="PROPERTY_ENERGY_CERTIFICATE"/>
    <s v="LOCALITY"/>
    <x v="0"/>
    <s v="1. Concluído"/>
    <m/>
    <m/>
    <m/>
    <m/>
    <s v=""/>
    <s v=""/>
    <s v=""/>
    <m/>
    <m/>
    <m/>
    <m/>
    <m/>
    <x v="0"/>
    <m/>
  </r>
  <r>
    <x v="0"/>
    <x v="0"/>
    <x v="0"/>
    <s v="PROPERTY_ENERGY_CERTIFICATE"/>
    <s v="CLIMATE_ZONE_SUMMER"/>
    <x v="0"/>
    <s v="1. Concluído"/>
    <m/>
    <m/>
    <m/>
    <m/>
    <s v=""/>
    <s v=""/>
    <s v=""/>
    <m/>
    <m/>
    <m/>
    <m/>
    <m/>
    <x v="0"/>
    <m/>
  </r>
  <r>
    <x v="0"/>
    <x v="0"/>
    <x v="0"/>
    <s v="PROPERTY_ENERGY_CERTIFICATE"/>
    <s v="GPS_LATITUDE"/>
    <x v="0"/>
    <s v="1. Concluído"/>
    <m/>
    <m/>
    <m/>
    <m/>
    <s v=""/>
    <s v=""/>
    <s v=""/>
    <m/>
    <m/>
    <m/>
    <m/>
    <m/>
    <x v="0"/>
    <m/>
  </r>
  <r>
    <x v="0"/>
    <x v="0"/>
    <x v="0"/>
    <s v="PROPERTY_ENERGY_CERTIFICATE"/>
    <s v="GPS_LONGITUDE"/>
    <x v="0"/>
    <s v="1. Concluído"/>
    <m/>
    <m/>
    <m/>
    <m/>
    <s v=""/>
    <s v=""/>
    <s v=""/>
    <m/>
    <m/>
    <m/>
    <m/>
    <m/>
    <x v="0"/>
    <m/>
  </r>
  <r>
    <x v="0"/>
    <x v="4"/>
    <x v="0"/>
    <s v="modesg_param_sfics_taxon_europeia"/>
    <s v="ordem"/>
    <x v="4"/>
    <s v="0. Cancelado"/>
    <m/>
    <m/>
    <m/>
    <m/>
    <m/>
    <m/>
    <m/>
    <m/>
    <m/>
    <m/>
    <m/>
    <m/>
    <x v="0"/>
    <m/>
  </r>
  <r>
    <x v="0"/>
    <x v="4"/>
    <x v="0"/>
    <s v="modesg_param_sfics_taxon_europeia"/>
    <s v="nome_purpose_esg"/>
    <x v="4"/>
    <s v="0. Cancelado"/>
    <m/>
    <m/>
    <m/>
    <m/>
    <m/>
    <m/>
    <m/>
    <m/>
    <m/>
    <m/>
    <m/>
    <m/>
    <x v="0"/>
    <m/>
  </r>
  <r>
    <x v="0"/>
    <x v="4"/>
    <x v="0"/>
    <s v="modesg_param_sfics_taxon_europeia"/>
    <s v="dominio"/>
    <x v="4"/>
    <s v="0. Cancelado"/>
    <m/>
    <m/>
    <m/>
    <m/>
    <m/>
    <m/>
    <m/>
    <m/>
    <m/>
    <m/>
    <m/>
    <m/>
    <x v="0"/>
    <m/>
  </r>
  <r>
    <x v="0"/>
    <x v="4"/>
    <x v="1"/>
    <s v="modesg_inp_emss_vcls"/>
    <s v="n.a."/>
    <x v="0"/>
    <s v="1. Concluído"/>
    <m/>
    <m/>
    <m/>
    <m/>
    <s v=""/>
    <s v=""/>
    <s v=""/>
    <m/>
    <m/>
    <m/>
    <m/>
    <m/>
    <x v="0"/>
    <m/>
  </r>
  <r>
    <x v="0"/>
    <x v="4"/>
    <x v="1"/>
    <s v="modesg_inp_km_medios_emss_vcls"/>
    <s v="n.a."/>
    <x v="0"/>
    <s v="1. Concluído"/>
    <m/>
    <m/>
    <m/>
    <m/>
    <s v=""/>
    <s v=""/>
    <s v=""/>
    <m/>
    <m/>
    <m/>
    <m/>
    <m/>
    <x v="0"/>
    <m/>
  </r>
  <r>
    <x v="0"/>
    <x v="4"/>
    <x v="1"/>
    <s v="modesg_inp_empr_excl_paris"/>
    <s v="n.a."/>
    <x v="0"/>
    <s v="1. Concluído"/>
    <m/>
    <m/>
    <m/>
    <m/>
    <s v=""/>
    <s v=""/>
    <s v=""/>
    <m/>
    <m/>
    <m/>
    <m/>
    <m/>
    <x v="0"/>
    <m/>
  </r>
  <r>
    <x v="0"/>
    <x v="4"/>
    <x v="1"/>
    <s v="modesg_inp_nfrd_alinhamento_tax"/>
    <s v="n.a."/>
    <x v="0"/>
    <s v="1. Concluído"/>
    <m/>
    <m/>
    <m/>
    <m/>
    <s v=""/>
    <s v=""/>
    <s v=""/>
    <m/>
    <m/>
    <m/>
    <m/>
    <m/>
    <x v="0"/>
    <m/>
  </r>
  <r>
    <x v="0"/>
    <x v="4"/>
    <x v="1"/>
    <s v="modesg_inp_risco_fisico"/>
    <s v="n.a."/>
    <x v="0"/>
    <s v="1. Concluído"/>
    <m/>
    <m/>
    <m/>
    <m/>
    <s v=""/>
    <s v=""/>
    <s v=""/>
    <m/>
    <m/>
    <m/>
    <m/>
    <m/>
    <x v="0"/>
    <m/>
  </r>
  <r>
    <x v="0"/>
    <x v="4"/>
    <x v="1"/>
    <s v="modesg_inp_emss_scib"/>
    <s v="n.a."/>
    <x v="0"/>
    <s v="1. Concluído"/>
    <m/>
    <m/>
    <m/>
    <m/>
    <s v=""/>
    <s v=""/>
    <s v=""/>
    <m/>
    <m/>
    <m/>
    <m/>
    <m/>
    <x v="0"/>
    <m/>
  </r>
  <r>
    <x v="0"/>
    <x v="4"/>
    <x v="1"/>
    <s v="modesg_inp_emss_nace"/>
    <s v="n.a."/>
    <x v="0"/>
    <s v="1. Concluído"/>
    <m/>
    <m/>
    <m/>
    <s v="Package X"/>
    <s v=""/>
    <s v=""/>
    <s v=""/>
    <m/>
    <m/>
    <m/>
    <m/>
    <m/>
    <x v="0"/>
    <m/>
  </r>
  <r>
    <x v="0"/>
    <x v="4"/>
    <x v="1"/>
    <s v="modesg_inp_emss_bens_imoveis"/>
    <s v="n.a."/>
    <x v="0"/>
    <s v="1. Concluído"/>
    <m/>
    <m/>
    <m/>
    <m/>
    <s v=""/>
    <s v=""/>
    <s v=""/>
    <m/>
    <m/>
    <m/>
    <m/>
    <m/>
    <x v="0"/>
    <m/>
  </r>
  <r>
    <x v="0"/>
    <x v="4"/>
    <x v="0"/>
    <s v="modesg_inp_emss_vcls"/>
    <s v="ref_date"/>
    <x v="0"/>
    <s v="1. Concluído"/>
    <m/>
    <m/>
    <m/>
    <m/>
    <s v=""/>
    <s v=""/>
    <s v=""/>
    <m/>
    <m/>
    <m/>
    <m/>
    <m/>
    <x v="0"/>
    <m/>
  </r>
  <r>
    <x v="0"/>
    <x v="4"/>
    <x v="0"/>
    <s v="modesg_inp_emss_vcls"/>
    <s v="nome_regiao"/>
    <x v="0"/>
    <s v="1. Concluído"/>
    <m/>
    <m/>
    <m/>
    <m/>
    <s v=""/>
    <s v=""/>
    <s v=""/>
    <m/>
    <m/>
    <m/>
    <m/>
    <m/>
    <x v="0"/>
    <m/>
  </r>
  <r>
    <x v="0"/>
    <x v="4"/>
    <x v="0"/>
    <s v="modesg_inp_emss_vcls"/>
    <s v="nome_pais"/>
    <x v="0"/>
    <s v="1. Concluído"/>
    <m/>
    <m/>
    <m/>
    <m/>
    <s v=""/>
    <s v=""/>
    <s v=""/>
    <m/>
    <m/>
    <m/>
    <m/>
    <m/>
    <x v="0"/>
    <m/>
  </r>
  <r>
    <x v="0"/>
    <x v="4"/>
    <x v="0"/>
    <s v="modesg_inp_emss_vcls"/>
    <s v="nome_estado"/>
    <x v="0"/>
    <s v="1. Concluído"/>
    <m/>
    <m/>
    <m/>
    <m/>
    <s v=""/>
    <s v=""/>
    <s v=""/>
    <m/>
    <m/>
    <m/>
    <m/>
    <m/>
    <x v="0"/>
    <m/>
  </r>
  <r>
    <x v="0"/>
    <x v="4"/>
    <x v="0"/>
    <s v="modesg_inp_emss_vcls"/>
    <s v="tipo_veiculo"/>
    <x v="0"/>
    <s v="1. Concluído"/>
    <m/>
    <m/>
    <m/>
    <m/>
    <s v=""/>
    <s v=""/>
    <s v=""/>
    <m/>
    <m/>
    <m/>
    <m/>
    <m/>
    <x v="0"/>
    <m/>
  </r>
  <r>
    <x v="0"/>
    <x v="4"/>
    <x v="0"/>
    <s v="modesg_inp_emss_vcls"/>
    <s v="tipo_motor"/>
    <x v="0"/>
    <s v="1. Concluído"/>
    <m/>
    <m/>
    <m/>
    <m/>
    <s v=""/>
    <s v=""/>
    <s v=""/>
    <m/>
    <m/>
    <m/>
    <m/>
    <m/>
    <x v="0"/>
    <m/>
  </r>
  <r>
    <x v="0"/>
    <x v="4"/>
    <x v="0"/>
    <s v="modesg_inp_emss_vcls"/>
    <s v="marca"/>
    <x v="0"/>
    <s v="1. Concluído"/>
    <m/>
    <m/>
    <m/>
    <m/>
    <s v=""/>
    <s v=""/>
    <s v=""/>
    <m/>
    <m/>
    <m/>
    <m/>
    <m/>
    <x v="0"/>
    <m/>
  </r>
  <r>
    <x v="0"/>
    <x v="4"/>
    <x v="0"/>
    <s v="modesg_inp_emss_vcls"/>
    <s v="modelo"/>
    <x v="0"/>
    <s v="1. Concluído"/>
    <m/>
    <m/>
    <m/>
    <m/>
    <s v=""/>
    <s v=""/>
    <s v=""/>
    <m/>
    <m/>
    <m/>
    <m/>
    <m/>
    <x v="0"/>
    <m/>
  </r>
  <r>
    <x v="0"/>
    <x v="4"/>
    <x v="0"/>
    <s v="modesg_inp_emss_vcls"/>
    <s v="subgrupo"/>
    <x v="0"/>
    <s v="1. Concluído"/>
    <m/>
    <m/>
    <m/>
    <m/>
    <s v=""/>
    <s v=""/>
    <s v=""/>
    <m/>
    <m/>
    <m/>
    <m/>
    <m/>
    <x v="0"/>
    <m/>
  </r>
  <r>
    <x v="0"/>
    <x v="4"/>
    <x v="0"/>
    <s v="modesg_inp_emss_vcls"/>
    <s v="nome_unidade_funcional"/>
    <x v="0"/>
    <s v="1. Concluído"/>
    <m/>
    <m/>
    <m/>
    <m/>
    <s v=""/>
    <s v=""/>
    <s v=""/>
    <m/>
    <m/>
    <m/>
    <m/>
    <m/>
    <x v="0"/>
    <m/>
  </r>
  <r>
    <x v="0"/>
    <x v="4"/>
    <x v="0"/>
    <s v="modesg_inp_emss_vcls"/>
    <s v="unidade_funcional"/>
    <x v="0"/>
    <s v="1. Concluído"/>
    <m/>
    <m/>
    <m/>
    <m/>
    <s v=""/>
    <s v=""/>
    <s v=""/>
    <m/>
    <m/>
    <m/>
    <m/>
    <m/>
    <x v="0"/>
    <m/>
  </r>
  <r>
    <x v="0"/>
    <x v="4"/>
    <x v="0"/>
    <s v="modesg_inp_emss_vcls"/>
    <s v="nome_fator_emissao"/>
    <x v="0"/>
    <s v="1. Concluído"/>
    <m/>
    <m/>
    <m/>
    <m/>
    <s v=""/>
    <s v=""/>
    <s v=""/>
    <m/>
    <m/>
    <m/>
    <m/>
    <m/>
    <x v="0"/>
    <m/>
  </r>
  <r>
    <x v="0"/>
    <x v="4"/>
    <x v="0"/>
    <s v="modesg_inp_emss_vcls"/>
    <s v="unidade_fator_de_emissao"/>
    <x v="0"/>
    <s v="1. Concluído"/>
    <m/>
    <m/>
    <m/>
    <m/>
    <s v=""/>
    <s v=""/>
    <s v=""/>
    <m/>
    <m/>
    <m/>
    <m/>
    <m/>
    <x v="0"/>
    <m/>
  </r>
  <r>
    <x v="0"/>
    <x v="4"/>
    <x v="0"/>
    <s v="modesg_inp_emss_vcls"/>
    <s v="score_qualidade"/>
    <x v="0"/>
    <s v="1. Concluído"/>
    <m/>
    <m/>
    <m/>
    <m/>
    <s v=""/>
    <s v=""/>
    <s v=""/>
    <m/>
    <m/>
    <m/>
    <m/>
    <m/>
    <x v="0"/>
    <m/>
  </r>
  <r>
    <x v="0"/>
    <x v="4"/>
    <x v="0"/>
    <s v="modesg_inp_emss_vcls"/>
    <s v="scp1_ftr_emss"/>
    <x v="0"/>
    <s v="1. Concluído"/>
    <m/>
    <m/>
    <m/>
    <m/>
    <s v=""/>
    <s v=""/>
    <s v=""/>
    <m/>
    <m/>
    <m/>
    <m/>
    <m/>
    <x v="0"/>
    <m/>
  </r>
  <r>
    <x v="0"/>
    <x v="4"/>
    <x v="0"/>
    <s v="modesg_inp_emss_vcls"/>
    <s v="scp2_ftr_emss"/>
    <x v="0"/>
    <s v="1. Concluído"/>
    <m/>
    <m/>
    <m/>
    <m/>
    <s v=""/>
    <s v=""/>
    <s v=""/>
    <m/>
    <m/>
    <m/>
    <m/>
    <m/>
    <x v="0"/>
    <m/>
  </r>
  <r>
    <x v="0"/>
    <x v="4"/>
    <x v="0"/>
    <s v="modesg_inp_emss_vcls"/>
    <s v="scp3_ftr_emss"/>
    <x v="0"/>
    <s v="1. Concluído"/>
    <m/>
    <m/>
    <m/>
    <m/>
    <s v=""/>
    <s v=""/>
    <s v=""/>
    <m/>
    <m/>
    <m/>
    <m/>
    <m/>
    <x v="0"/>
    <m/>
  </r>
  <r>
    <x v="0"/>
    <x v="4"/>
    <x v="0"/>
    <s v="modesg_inp_km_medios_emss_vcls"/>
    <s v="ref_date"/>
    <x v="0"/>
    <s v="1. Concluído"/>
    <m/>
    <m/>
    <m/>
    <m/>
    <s v=""/>
    <s v=""/>
    <s v=""/>
    <m/>
    <m/>
    <m/>
    <m/>
    <m/>
    <x v="0"/>
    <m/>
  </r>
  <r>
    <x v="0"/>
    <x v="4"/>
    <x v="0"/>
    <s v="modesg_inp_km_medios_emss_vcls"/>
    <s v="nome_pais"/>
    <x v="0"/>
    <s v="1. Concluído"/>
    <m/>
    <m/>
    <m/>
    <m/>
    <s v=""/>
    <s v=""/>
    <s v=""/>
    <m/>
    <m/>
    <m/>
    <m/>
    <m/>
    <x v="0"/>
    <m/>
  </r>
  <r>
    <x v="0"/>
    <x v="4"/>
    <x v="0"/>
    <s v="modesg_inp_km_medios_emss_vcls"/>
    <s v="tipo_vcl"/>
    <x v="0"/>
    <s v="1. Concluído"/>
    <m/>
    <m/>
    <m/>
    <m/>
    <s v=""/>
    <s v=""/>
    <s v=""/>
    <m/>
    <m/>
    <m/>
    <m/>
    <m/>
    <x v="0"/>
    <m/>
  </r>
  <r>
    <x v="0"/>
    <x v="4"/>
    <x v="0"/>
    <s v="modesg_inp_km_medios_emss_vcls"/>
    <s v="tipo_motor"/>
    <x v="0"/>
    <s v="1. Concluído"/>
    <m/>
    <m/>
    <m/>
    <m/>
    <s v=""/>
    <s v=""/>
    <s v=""/>
    <m/>
    <m/>
    <m/>
    <m/>
    <m/>
    <x v="0"/>
    <m/>
  </r>
  <r>
    <x v="0"/>
    <x v="4"/>
    <x v="0"/>
    <s v="modesg_inp_km_medios_emss_vcls"/>
    <s v="subgrupo"/>
    <x v="0"/>
    <s v="1. Concluído"/>
    <m/>
    <m/>
    <m/>
    <m/>
    <s v=""/>
    <s v=""/>
    <s v=""/>
    <m/>
    <m/>
    <m/>
    <m/>
    <m/>
    <x v="0"/>
    <m/>
  </r>
  <r>
    <x v="0"/>
    <x v="4"/>
    <x v="0"/>
    <s v="modesg_inp_km_medios_emss_vcls"/>
    <s v="media_km"/>
    <x v="0"/>
    <s v="1. Concluído"/>
    <m/>
    <m/>
    <m/>
    <m/>
    <s v=""/>
    <s v=""/>
    <s v=""/>
    <m/>
    <m/>
    <m/>
    <m/>
    <m/>
    <x v="0"/>
    <m/>
  </r>
  <r>
    <x v="0"/>
    <x v="4"/>
    <x v="0"/>
    <s v="modesg_inp_empr_excl_paris"/>
    <s v="ref_date"/>
    <x v="0"/>
    <s v="1. Concluído"/>
    <m/>
    <m/>
    <m/>
    <m/>
    <s v=""/>
    <s v=""/>
    <s v=""/>
    <m/>
    <m/>
    <m/>
    <m/>
    <m/>
    <x v="0"/>
    <m/>
  </r>
  <r>
    <x v="0"/>
    <x v="4"/>
    <x v="0"/>
    <s v="modesg_inp_empr_excl_paris"/>
    <s v="isin"/>
    <x v="0"/>
    <s v="1. Concluído"/>
    <m/>
    <m/>
    <m/>
    <m/>
    <s v=""/>
    <s v=""/>
    <s v=""/>
    <m/>
    <m/>
    <m/>
    <m/>
    <m/>
    <x v="0"/>
    <m/>
  </r>
  <r>
    <x v="0"/>
    <x v="4"/>
    <x v="0"/>
    <s v="modesg_inp_empr_excl_paris"/>
    <s v="clei"/>
    <x v="0"/>
    <s v="1. Concluído"/>
    <m/>
    <m/>
    <m/>
    <m/>
    <s v=""/>
    <s v=""/>
    <s v=""/>
    <m/>
    <m/>
    <m/>
    <m/>
    <m/>
    <x v="0"/>
    <m/>
  </r>
  <r>
    <x v="0"/>
    <x v="4"/>
    <x v="0"/>
    <s v="modesg_inp_empr_excl_paris"/>
    <s v="ccli_kgl"/>
    <x v="0"/>
    <s v="1. Concluído"/>
    <m/>
    <m/>
    <m/>
    <m/>
    <s v=""/>
    <s v=""/>
    <s v=""/>
    <m/>
    <m/>
    <m/>
    <m/>
    <m/>
    <x v="0"/>
    <m/>
  </r>
  <r>
    <x v="0"/>
    <x v="4"/>
    <x v="0"/>
    <s v="modesg_inp_empr_excl_paris"/>
    <s v="nome_entidade"/>
    <x v="0"/>
    <s v="1. Concluído"/>
    <m/>
    <m/>
    <m/>
    <m/>
    <s v=""/>
    <s v=""/>
    <s v=""/>
    <m/>
    <m/>
    <m/>
    <m/>
    <m/>
    <x v="0"/>
    <m/>
  </r>
  <r>
    <x v="0"/>
    <x v="4"/>
    <x v="0"/>
    <s v="modesg_inp_empr_excl_paris"/>
    <s v="flg_scib"/>
    <x v="0"/>
    <s v="1. Concluído"/>
    <m/>
    <m/>
    <m/>
    <m/>
    <s v=""/>
    <s v=""/>
    <s v=""/>
    <m/>
    <m/>
    <m/>
    <m/>
    <m/>
    <x v="0"/>
    <m/>
  </r>
  <r>
    <x v="0"/>
    <x v="4"/>
    <x v="0"/>
    <s v="modesg_inp_empr_excl_paris"/>
    <s v="nome_pais"/>
    <x v="0"/>
    <s v="1. Concluído"/>
    <m/>
    <m/>
    <m/>
    <m/>
    <s v=""/>
    <s v=""/>
    <s v=""/>
    <m/>
    <m/>
    <m/>
    <m/>
    <m/>
    <x v="0"/>
    <m/>
  </r>
  <r>
    <x v="0"/>
    <x v="4"/>
    <x v="0"/>
    <s v="modesg_inp_nfrd_alinhamento_tax"/>
    <s v="ref_date"/>
    <x v="0"/>
    <s v="1. Concluído"/>
    <m/>
    <m/>
    <m/>
    <m/>
    <s v=""/>
    <s v=""/>
    <s v=""/>
    <m/>
    <m/>
    <m/>
    <m/>
    <m/>
    <x v="0"/>
    <m/>
  </r>
  <r>
    <x v="0"/>
    <x v="4"/>
    <x v="0"/>
    <s v="modesg_inp_nfrd_alinhamento_tax"/>
    <s v="ccli_kgl"/>
    <x v="0"/>
    <s v="1. Concluído"/>
    <m/>
    <m/>
    <m/>
    <m/>
    <s v=""/>
    <s v=""/>
    <s v=""/>
    <m/>
    <m/>
    <m/>
    <m/>
    <m/>
    <x v="0"/>
    <m/>
  </r>
  <r>
    <x v="0"/>
    <x v="4"/>
    <x v="0"/>
    <s v="modesg_inp_nfrd_alinhamento_tax"/>
    <s v="clei"/>
    <x v="0"/>
    <s v="1. Concluído"/>
    <m/>
    <m/>
    <m/>
    <m/>
    <s v=""/>
    <s v=""/>
    <s v=""/>
    <m/>
    <m/>
    <m/>
    <m/>
    <m/>
    <x v="0"/>
    <m/>
  </r>
  <r>
    <x v="0"/>
    <x v="4"/>
    <x v="0"/>
    <s v="modesg_inp_nfrd_alinhamento_tax"/>
    <s v="perm_id"/>
    <x v="0"/>
    <s v="1. Concluído"/>
    <m/>
    <m/>
    <m/>
    <m/>
    <s v=""/>
    <s v=""/>
    <s v=""/>
    <m/>
    <m/>
    <m/>
    <m/>
    <m/>
    <x v="0"/>
    <m/>
  </r>
  <r>
    <x v="0"/>
    <x v="4"/>
    <x v="0"/>
    <s v="modesg_inp_nfrd_alinhamento_tax"/>
    <s v="nome_entidade"/>
    <x v="0"/>
    <s v="1. Concluído"/>
    <m/>
    <m/>
    <m/>
    <m/>
    <s v=""/>
    <s v=""/>
    <s v=""/>
    <m/>
    <m/>
    <m/>
    <m/>
    <m/>
    <x v="0"/>
    <m/>
  </r>
  <r>
    <x v="0"/>
    <x v="4"/>
    <x v="0"/>
    <s v="modesg_inp_nfrd_alinhamento_tax"/>
    <s v="nome_pais"/>
    <x v="0"/>
    <s v="1. Concluído"/>
    <m/>
    <m/>
    <m/>
    <m/>
    <s v=""/>
    <s v=""/>
    <s v=""/>
    <m/>
    <m/>
    <m/>
    <m/>
    <m/>
    <x v="0"/>
    <m/>
  </r>
  <r>
    <x v="0"/>
    <x v="4"/>
    <x v="0"/>
    <s v="modesg_inp_nfrd_alinhamento_tax"/>
    <s v="flg_nfrd"/>
    <x v="0"/>
    <s v="1. Concluído"/>
    <m/>
    <m/>
    <m/>
    <m/>
    <s v=""/>
    <s v=""/>
    <s v=""/>
    <m/>
    <m/>
    <m/>
    <m/>
    <m/>
    <x v="0"/>
    <m/>
  </r>
  <r>
    <x v="0"/>
    <x v="4"/>
    <x v="0"/>
    <s v="modesg_inp_nfrd_alinhamento_tax"/>
    <s v="cca_trnvr_ttl_elgbl"/>
    <x v="0"/>
    <s v="1. Concluído"/>
    <m/>
    <m/>
    <m/>
    <m/>
    <s v=""/>
    <s v=""/>
    <s v=""/>
    <m/>
    <m/>
    <m/>
    <m/>
    <m/>
    <x v="0"/>
    <m/>
  </r>
  <r>
    <x v="0"/>
    <x v="4"/>
    <x v="0"/>
    <s v="modesg_inp_nfrd_alinhamento_tax"/>
    <s v="cca_trnvr_enblng_alignd"/>
    <x v="0"/>
    <s v="1. Concluído"/>
    <m/>
    <m/>
    <m/>
    <m/>
    <s v=""/>
    <s v=""/>
    <s v=""/>
    <m/>
    <m/>
    <m/>
    <m/>
    <m/>
    <x v="0"/>
    <m/>
  </r>
  <r>
    <x v="0"/>
    <x v="4"/>
    <x v="0"/>
    <s v="modesg_inp_nfrd_alinhamento_tax"/>
    <s v="cca_turnover_own_prfrmnce_algnd"/>
    <x v="0"/>
    <s v="1. Concluído"/>
    <m/>
    <m/>
    <m/>
    <m/>
    <s v=""/>
    <s v=""/>
    <s v=""/>
    <m/>
    <m/>
    <m/>
    <m/>
    <m/>
    <x v="0"/>
    <m/>
  </r>
  <r>
    <x v="0"/>
    <x v="4"/>
    <x v="0"/>
    <s v="modesg_inp_nfrd_alinhamento_tax"/>
    <s v="cca_capex_ttl_elgbl"/>
    <x v="0"/>
    <s v="1. Concluído"/>
    <m/>
    <m/>
    <m/>
    <m/>
    <s v=""/>
    <s v=""/>
    <s v=""/>
    <m/>
    <m/>
    <m/>
    <m/>
    <m/>
    <x v="0"/>
    <m/>
  </r>
  <r>
    <x v="0"/>
    <x v="4"/>
    <x v="0"/>
    <s v="modesg_inp_nfrd_alinhamento_tax"/>
    <s v="cca_capex_enblng_algnd"/>
    <x v="0"/>
    <s v="1. Concluído"/>
    <m/>
    <m/>
    <m/>
    <m/>
    <s v=""/>
    <s v=""/>
    <s v=""/>
    <m/>
    <m/>
    <m/>
    <m/>
    <m/>
    <x v="0"/>
    <m/>
  </r>
  <r>
    <x v="0"/>
    <x v="4"/>
    <x v="0"/>
    <s v="modesg_inp_nfrd_alinhamento_tax"/>
    <s v="cca_capex_own_prfrmnce_algnd"/>
    <x v="0"/>
    <s v="1. Concluído"/>
    <m/>
    <m/>
    <m/>
    <m/>
    <s v=""/>
    <s v=""/>
    <s v=""/>
    <m/>
    <m/>
    <m/>
    <m/>
    <m/>
    <x v="0"/>
    <m/>
  </r>
  <r>
    <x v="0"/>
    <x v="4"/>
    <x v="0"/>
    <s v="modesg_inp_nfrd_alinhamento_tax"/>
    <s v="ccm_trnvr_ttl_elgbl"/>
    <x v="0"/>
    <s v="1. Concluído"/>
    <m/>
    <m/>
    <m/>
    <m/>
    <s v=""/>
    <s v=""/>
    <s v=""/>
    <m/>
    <m/>
    <m/>
    <m/>
    <m/>
    <x v="0"/>
    <m/>
  </r>
  <r>
    <x v="0"/>
    <x v="4"/>
    <x v="0"/>
    <s v="modesg_inp_nfrd_alinhamento_tax"/>
    <s v="ccm_trnvr_enblng_algnd"/>
    <x v="0"/>
    <s v="1. Concluído"/>
    <m/>
    <m/>
    <m/>
    <m/>
    <s v=""/>
    <s v=""/>
    <s v=""/>
    <m/>
    <m/>
    <m/>
    <m/>
    <m/>
    <x v="0"/>
    <m/>
  </r>
  <r>
    <x v="0"/>
    <x v="4"/>
    <x v="0"/>
    <s v="modesg_inp_nfrd_alinhamento_tax"/>
    <s v="ccm_trnvr_trnstn_alignd"/>
    <x v="0"/>
    <s v="1. Concluído"/>
    <m/>
    <m/>
    <m/>
    <m/>
    <s v=""/>
    <s v=""/>
    <s v=""/>
    <m/>
    <m/>
    <m/>
    <m/>
    <m/>
    <x v="0"/>
    <m/>
  </r>
  <r>
    <x v="0"/>
    <x v="4"/>
    <x v="0"/>
    <s v="modesg_inp_nfrd_alinhamento_tax"/>
    <s v="ccm_trnvr_own_prfrmnce_algnd"/>
    <x v="0"/>
    <s v="1. Concluído"/>
    <m/>
    <m/>
    <m/>
    <m/>
    <s v=""/>
    <s v=""/>
    <s v=""/>
    <m/>
    <m/>
    <m/>
    <m/>
    <m/>
    <x v="0"/>
    <m/>
  </r>
  <r>
    <x v="0"/>
    <x v="4"/>
    <x v="0"/>
    <s v="modesg_inp_nfrd_alinhamento_tax"/>
    <s v="ccm_capex_ttl_elgbl"/>
    <x v="0"/>
    <s v="1. Concluído"/>
    <m/>
    <m/>
    <m/>
    <m/>
    <s v=""/>
    <s v=""/>
    <s v=""/>
    <m/>
    <m/>
    <m/>
    <m/>
    <m/>
    <x v="0"/>
    <m/>
  </r>
  <r>
    <x v="0"/>
    <x v="4"/>
    <x v="0"/>
    <s v="modesg_inp_nfrd_alinhamento_tax"/>
    <s v="ccm_capex_enblng_algnd"/>
    <x v="0"/>
    <s v="1. Concluído"/>
    <m/>
    <m/>
    <m/>
    <m/>
    <s v=""/>
    <s v=""/>
    <s v=""/>
    <m/>
    <m/>
    <m/>
    <m/>
    <m/>
    <x v="0"/>
    <m/>
  </r>
  <r>
    <x v="0"/>
    <x v="4"/>
    <x v="0"/>
    <s v="modesg_inp_nfrd_alinhamento_tax"/>
    <s v="ccm_capex_trnstn_algnd"/>
    <x v="0"/>
    <s v="1. Concluído"/>
    <m/>
    <m/>
    <m/>
    <m/>
    <s v=""/>
    <s v=""/>
    <s v=""/>
    <m/>
    <m/>
    <m/>
    <m/>
    <m/>
    <x v="0"/>
    <m/>
  </r>
  <r>
    <x v="0"/>
    <x v="4"/>
    <x v="0"/>
    <s v="modesg_inp_nfrd_alinhamento_tax"/>
    <s v="ccm_capex_own_prfrmnce_algnd"/>
    <x v="0"/>
    <s v="1. Concluído"/>
    <m/>
    <m/>
    <m/>
    <m/>
    <s v=""/>
    <s v=""/>
    <s v=""/>
    <m/>
    <m/>
    <m/>
    <m/>
    <m/>
    <x v="0"/>
    <m/>
  </r>
  <r>
    <x v="0"/>
    <x v="4"/>
    <x v="0"/>
    <s v="modesg_inp_nfrd_alinhamento_tax"/>
    <s v="ppc_trnvr_ttl_elgbl"/>
    <x v="0"/>
    <s v="1. Concluído"/>
    <m/>
    <m/>
    <m/>
    <m/>
    <s v=""/>
    <s v=""/>
    <s v=""/>
    <m/>
    <m/>
    <m/>
    <m/>
    <m/>
    <x v="0"/>
    <m/>
  </r>
  <r>
    <x v="0"/>
    <x v="4"/>
    <x v="0"/>
    <s v="modesg_inp_nfrd_alinhamento_tax"/>
    <s v="ppc_turnover_own_prfrmnce_algnd"/>
    <x v="0"/>
    <s v="1. Concluído"/>
    <m/>
    <m/>
    <m/>
    <m/>
    <s v=""/>
    <s v=""/>
    <s v=""/>
    <m/>
    <m/>
    <m/>
    <m/>
    <m/>
    <x v="0"/>
    <m/>
  </r>
  <r>
    <x v="0"/>
    <x v="4"/>
    <x v="0"/>
    <s v="modesg_inp_nfrd_alinhamento_tax"/>
    <s v="ppc_capex_ttl_elgbl"/>
    <x v="0"/>
    <s v="1. Concluído"/>
    <m/>
    <m/>
    <m/>
    <m/>
    <s v=""/>
    <s v=""/>
    <s v=""/>
    <m/>
    <m/>
    <m/>
    <m/>
    <m/>
    <x v="0"/>
    <m/>
  </r>
  <r>
    <x v="0"/>
    <x v="4"/>
    <x v="0"/>
    <s v="modesg_inp_nfrd_alinhamento_tax"/>
    <s v="ppc_capex_own_prfrmnce_algnd"/>
    <x v="0"/>
    <s v="1. Concluído"/>
    <m/>
    <m/>
    <m/>
    <m/>
    <s v=""/>
    <s v=""/>
    <s v=""/>
    <m/>
    <m/>
    <m/>
    <m/>
    <m/>
    <x v="0"/>
    <m/>
  </r>
  <r>
    <x v="0"/>
    <x v="4"/>
    <x v="0"/>
    <s v="modesg_inp_nfrd_alinhamento_tax"/>
    <s v="bio_trnvr_ttl_elgbl"/>
    <x v="0"/>
    <s v="1. Concluído"/>
    <m/>
    <m/>
    <m/>
    <m/>
    <s v=""/>
    <s v=""/>
    <s v=""/>
    <m/>
    <m/>
    <m/>
    <m/>
    <m/>
    <x v="0"/>
    <m/>
  </r>
  <r>
    <x v="0"/>
    <x v="4"/>
    <x v="0"/>
    <s v="modesg_inp_nfrd_alinhamento_tax"/>
    <s v="bio_turnover_own_prfrmnce_algnd"/>
    <x v="0"/>
    <s v="1. Concluído"/>
    <m/>
    <m/>
    <m/>
    <m/>
    <s v=""/>
    <s v=""/>
    <s v=""/>
    <m/>
    <m/>
    <m/>
    <m/>
    <m/>
    <x v="0"/>
    <m/>
  </r>
  <r>
    <x v="0"/>
    <x v="4"/>
    <x v="0"/>
    <s v="modesg_inp_nfrd_alinhamento_tax"/>
    <s v="bio_capex_ttl_elgbl"/>
    <x v="0"/>
    <s v="1. Concluído"/>
    <m/>
    <m/>
    <m/>
    <m/>
    <s v=""/>
    <s v=""/>
    <s v=""/>
    <m/>
    <m/>
    <m/>
    <m/>
    <m/>
    <x v="0"/>
    <m/>
  </r>
  <r>
    <x v="0"/>
    <x v="4"/>
    <x v="0"/>
    <s v="modesg_inp_nfrd_alinhamento_tax"/>
    <s v="bio_capex_own_prfrmnce_algnd"/>
    <x v="0"/>
    <s v="1. Concluído"/>
    <m/>
    <m/>
    <m/>
    <m/>
    <s v=""/>
    <s v=""/>
    <s v=""/>
    <m/>
    <m/>
    <m/>
    <m/>
    <m/>
    <x v="0"/>
    <m/>
  </r>
  <r>
    <x v="0"/>
    <x v="4"/>
    <x v="0"/>
    <s v="modesg_inp_nfrd_alinhamento_tax"/>
    <s v="wtr_trnvr_ttl_elgbl"/>
    <x v="0"/>
    <s v="1. Concluído"/>
    <m/>
    <m/>
    <m/>
    <m/>
    <s v=""/>
    <s v=""/>
    <s v=""/>
    <m/>
    <m/>
    <m/>
    <m/>
    <m/>
    <x v="0"/>
    <m/>
  </r>
  <r>
    <x v="0"/>
    <x v="4"/>
    <x v="0"/>
    <s v="modesg_inp_nfrd_alinhamento_tax"/>
    <s v="wtr_trnvr_enblng_alignd"/>
    <x v="0"/>
    <s v="1. Concluído"/>
    <m/>
    <m/>
    <m/>
    <m/>
    <s v=""/>
    <s v=""/>
    <s v=""/>
    <m/>
    <m/>
    <m/>
    <m/>
    <m/>
    <x v="0"/>
    <m/>
  </r>
  <r>
    <x v="0"/>
    <x v="4"/>
    <x v="0"/>
    <s v="modesg_inp_nfrd_alinhamento_tax"/>
    <s v="wtr_turnover_own_prfrmnce_algnd"/>
    <x v="0"/>
    <s v="1. Concluído"/>
    <m/>
    <m/>
    <m/>
    <m/>
    <s v=""/>
    <s v=""/>
    <s v=""/>
    <m/>
    <m/>
    <m/>
    <m/>
    <m/>
    <x v="0"/>
    <m/>
  </r>
  <r>
    <x v="0"/>
    <x v="4"/>
    <x v="0"/>
    <s v="modesg_inp_nfrd_alinhamento_tax"/>
    <s v="wtr_capex_ttl_elgbl"/>
    <x v="0"/>
    <s v="1. Concluído"/>
    <m/>
    <m/>
    <m/>
    <m/>
    <s v=""/>
    <s v=""/>
    <s v=""/>
    <m/>
    <m/>
    <m/>
    <m/>
    <m/>
    <x v="0"/>
    <m/>
  </r>
  <r>
    <x v="0"/>
    <x v="4"/>
    <x v="0"/>
    <s v="modesg_inp_nfrd_alinhamento_tax"/>
    <s v="wtr_capex_enblng_algnd"/>
    <x v="0"/>
    <s v="1. Concluído"/>
    <m/>
    <m/>
    <m/>
    <m/>
    <s v=""/>
    <s v=""/>
    <s v=""/>
    <m/>
    <m/>
    <m/>
    <m/>
    <m/>
    <x v="0"/>
    <m/>
  </r>
  <r>
    <x v="0"/>
    <x v="4"/>
    <x v="0"/>
    <s v="modesg_inp_nfrd_alinhamento_tax"/>
    <s v="wtr_capex_own_prfrmnce_algnd"/>
    <x v="0"/>
    <s v="1. Concluído"/>
    <m/>
    <m/>
    <m/>
    <m/>
    <s v=""/>
    <s v=""/>
    <s v=""/>
    <m/>
    <m/>
    <m/>
    <m/>
    <m/>
    <x v="0"/>
    <m/>
  </r>
  <r>
    <x v="0"/>
    <x v="4"/>
    <x v="0"/>
    <s v="modesg_inp_nfrd_alinhamento_tax"/>
    <s v="ce_trnvr_ttl_elgbl"/>
    <x v="0"/>
    <s v="1. Concluído"/>
    <m/>
    <m/>
    <m/>
    <m/>
    <s v=""/>
    <s v=""/>
    <s v=""/>
    <m/>
    <m/>
    <m/>
    <m/>
    <m/>
    <x v="0"/>
    <m/>
  </r>
  <r>
    <x v="0"/>
    <x v="4"/>
    <x v="0"/>
    <s v="modesg_inp_nfrd_alinhamento_tax"/>
    <s v="ce_trnvr_enblng_alignd"/>
    <x v="0"/>
    <s v="1. Concluído"/>
    <m/>
    <m/>
    <m/>
    <m/>
    <s v=""/>
    <s v=""/>
    <s v=""/>
    <m/>
    <m/>
    <m/>
    <m/>
    <m/>
    <x v="0"/>
    <m/>
  </r>
  <r>
    <x v="0"/>
    <x v="4"/>
    <x v="0"/>
    <s v="modesg_inp_nfrd_alinhamento_tax"/>
    <s v="ce_turnover_own_prfrmnce_algnd"/>
    <x v="0"/>
    <s v="1. Concluído"/>
    <m/>
    <m/>
    <m/>
    <m/>
    <s v=""/>
    <s v=""/>
    <s v=""/>
    <m/>
    <m/>
    <m/>
    <m/>
    <m/>
    <x v="0"/>
    <m/>
  </r>
  <r>
    <x v="0"/>
    <x v="4"/>
    <x v="0"/>
    <s v="modesg_inp_nfrd_alinhamento_tax"/>
    <s v="ce_capex_ttl_elgbl"/>
    <x v="0"/>
    <s v="1. Concluído"/>
    <m/>
    <m/>
    <m/>
    <m/>
    <s v=""/>
    <s v=""/>
    <s v=""/>
    <m/>
    <m/>
    <m/>
    <m/>
    <m/>
    <x v="0"/>
    <m/>
  </r>
  <r>
    <x v="0"/>
    <x v="4"/>
    <x v="0"/>
    <s v="modesg_inp_nfrd_alinhamento_tax"/>
    <s v="ce_capex_enblng_algnd"/>
    <x v="0"/>
    <s v="1. Concluído"/>
    <m/>
    <m/>
    <m/>
    <m/>
    <s v=""/>
    <s v=""/>
    <s v=""/>
    <m/>
    <m/>
    <m/>
    <m/>
    <m/>
    <x v="0"/>
    <m/>
  </r>
  <r>
    <x v="0"/>
    <x v="4"/>
    <x v="0"/>
    <s v="modesg_inp_nfrd_alinhamento_tax"/>
    <s v="ce_capex_own_prfrmnce_algnd"/>
    <x v="0"/>
    <s v="1. Concluído"/>
    <m/>
    <m/>
    <m/>
    <m/>
    <s v=""/>
    <s v=""/>
    <s v=""/>
    <m/>
    <m/>
    <m/>
    <m/>
    <m/>
    <x v="0"/>
    <m/>
  </r>
  <r>
    <x v="0"/>
    <x v="4"/>
    <x v="0"/>
    <s v="modesg_inp_risco_fisico"/>
    <s v="ref_date"/>
    <x v="0"/>
    <s v="1. Concluído"/>
    <m/>
    <m/>
    <m/>
    <m/>
    <s v=""/>
    <s v=""/>
    <s v=""/>
    <m/>
    <m/>
    <m/>
    <m/>
    <m/>
    <x v="0"/>
    <m/>
  </r>
  <r>
    <x v="0"/>
    <x v="4"/>
    <x v="0"/>
    <s v="modesg_inp_risco_fisico"/>
    <s v="cod_pais"/>
    <x v="0"/>
    <s v="1. Concluído"/>
    <m/>
    <m/>
    <m/>
    <m/>
    <s v=""/>
    <s v=""/>
    <s v=""/>
    <m/>
    <m/>
    <m/>
    <m/>
    <m/>
    <x v="0"/>
    <m/>
  </r>
  <r>
    <x v="0"/>
    <x v="4"/>
    <x v="0"/>
    <s v="modesg_inp_risco_fisico"/>
    <s v="cod_nutiii"/>
    <x v="0"/>
    <s v="1. Concluído"/>
    <m/>
    <m/>
    <m/>
    <m/>
    <s v=""/>
    <s v=""/>
    <s v=""/>
    <m/>
    <m/>
    <m/>
    <m/>
    <m/>
    <x v="0"/>
    <m/>
  </r>
  <r>
    <x v="0"/>
    <x v="4"/>
    <x v="0"/>
    <s v="modesg_inp_risco_fisico"/>
    <s v="cod_nace_esg"/>
    <x v="0"/>
    <s v="1. Concluído"/>
    <m/>
    <m/>
    <m/>
    <m/>
    <s v=""/>
    <s v=""/>
    <s v=""/>
    <m/>
    <m/>
    <m/>
    <m/>
    <m/>
    <x v="0"/>
    <m/>
  </r>
  <r>
    <x v="0"/>
    <x v="4"/>
    <x v="0"/>
    <s v="modesg_inp_risco_fisico"/>
    <s v="flg_rsc_fsc_agd"/>
    <x v="0"/>
    <s v="1. Concluído"/>
    <m/>
    <m/>
    <m/>
    <m/>
    <s v=""/>
    <s v=""/>
    <s v=""/>
    <m/>
    <m/>
    <m/>
    <m/>
    <m/>
    <x v="0"/>
    <m/>
  </r>
  <r>
    <x v="0"/>
    <x v="4"/>
    <x v="0"/>
    <s v="modesg_inp_risco_fisico"/>
    <s v="flg_rsc_fsc_crnc"/>
    <x v="0"/>
    <s v="1. Concluído"/>
    <m/>
    <m/>
    <m/>
    <m/>
    <s v=""/>
    <s v=""/>
    <s v=""/>
    <m/>
    <m/>
    <m/>
    <m/>
    <m/>
    <x v="0"/>
    <m/>
  </r>
  <r>
    <x v="0"/>
    <x v="4"/>
    <x v="0"/>
    <s v="modesg_inp_emss_scib"/>
    <s v="ref_date"/>
    <x v="0"/>
    <s v="1. Concluído"/>
    <m/>
    <m/>
    <m/>
    <m/>
    <s v=""/>
    <s v=""/>
    <s v=""/>
    <m/>
    <m/>
    <m/>
    <m/>
    <m/>
    <x v="0"/>
    <m/>
  </r>
  <r>
    <x v="0"/>
    <x v="4"/>
    <x v="0"/>
    <s v="modesg_inp_emss_scib"/>
    <s v="ccli_kgl"/>
    <x v="0"/>
    <s v="1. Concluído"/>
    <m/>
    <m/>
    <m/>
    <m/>
    <s v=""/>
    <s v=""/>
    <s v=""/>
    <m/>
    <m/>
    <m/>
    <m/>
    <m/>
    <x v="0"/>
    <m/>
  </r>
  <r>
    <x v="0"/>
    <x v="4"/>
    <x v="0"/>
    <s v="modesg_inp_emss_scib"/>
    <s v="nome_grupo"/>
    <x v="0"/>
    <s v="1. Concluído"/>
    <m/>
    <m/>
    <m/>
    <m/>
    <s v=""/>
    <s v=""/>
    <s v=""/>
    <m/>
    <m/>
    <m/>
    <m/>
    <m/>
    <x v="0"/>
    <m/>
  </r>
  <r>
    <x v="0"/>
    <x v="4"/>
    <x v="0"/>
    <s v="modesg_inp_emss_scib"/>
    <s v="isin"/>
    <x v="0"/>
    <s v="1. Concluído"/>
    <m/>
    <m/>
    <m/>
    <m/>
    <s v=""/>
    <s v=""/>
    <s v=""/>
    <m/>
    <m/>
    <m/>
    <m/>
    <m/>
    <x v="0"/>
    <m/>
  </r>
  <r>
    <x v="0"/>
    <x v="4"/>
    <x v="0"/>
    <s v="modesg_inp_emss_scib"/>
    <s v="clei"/>
    <x v="0"/>
    <s v="1. Concluído"/>
    <m/>
    <m/>
    <m/>
    <m/>
    <s v=""/>
    <s v=""/>
    <s v=""/>
    <m/>
    <m/>
    <m/>
    <m/>
    <m/>
    <x v="0"/>
    <m/>
  </r>
  <r>
    <x v="0"/>
    <x v="4"/>
    <x v="0"/>
    <s v="modesg_inp_emss_scib"/>
    <s v="scp1_emss"/>
    <x v="0"/>
    <s v="1. Concluído"/>
    <m/>
    <m/>
    <m/>
    <m/>
    <s v=""/>
    <s v=""/>
    <s v=""/>
    <m/>
    <m/>
    <m/>
    <m/>
    <m/>
    <x v="0"/>
    <m/>
  </r>
  <r>
    <x v="0"/>
    <x v="4"/>
    <x v="0"/>
    <s v="modesg_inp_emss_scib"/>
    <s v="scp2_emss"/>
    <x v="0"/>
    <s v="1. Concluído"/>
    <m/>
    <m/>
    <m/>
    <m/>
    <s v=""/>
    <s v=""/>
    <s v=""/>
    <m/>
    <m/>
    <m/>
    <m/>
    <m/>
    <x v="0"/>
    <m/>
  </r>
  <r>
    <x v="0"/>
    <x v="4"/>
    <x v="0"/>
    <s v="modesg_inp_emss_scib"/>
    <s v="scp3_emss"/>
    <x v="0"/>
    <s v="1. Concluído"/>
    <m/>
    <m/>
    <m/>
    <m/>
    <s v=""/>
    <s v=""/>
    <s v=""/>
    <m/>
    <m/>
    <m/>
    <m/>
    <m/>
    <x v="0"/>
    <m/>
  </r>
  <r>
    <x v="0"/>
    <x v="4"/>
    <x v="0"/>
    <s v="modesg_inp_emss_scib"/>
    <s v="score_scp1"/>
    <x v="0"/>
    <s v="1. Concluído"/>
    <m/>
    <m/>
    <m/>
    <m/>
    <s v=""/>
    <s v=""/>
    <s v=""/>
    <m/>
    <m/>
    <m/>
    <m/>
    <m/>
    <x v="0"/>
    <m/>
  </r>
  <r>
    <x v="0"/>
    <x v="4"/>
    <x v="0"/>
    <s v="modesg_inp_emss_scib"/>
    <s v="score_scp2"/>
    <x v="0"/>
    <s v="1. Concluído"/>
    <m/>
    <m/>
    <m/>
    <m/>
    <s v=""/>
    <s v=""/>
    <s v=""/>
    <m/>
    <m/>
    <m/>
    <m/>
    <m/>
    <x v="0"/>
    <m/>
  </r>
  <r>
    <x v="0"/>
    <x v="4"/>
    <x v="0"/>
    <s v="modesg_inp_emss_scib"/>
    <s v="score_scp3"/>
    <x v="0"/>
    <s v="1. Concluído"/>
    <m/>
    <m/>
    <m/>
    <m/>
    <s v=""/>
    <s v=""/>
    <s v=""/>
    <m/>
    <m/>
    <m/>
    <m/>
    <m/>
    <x v="0"/>
    <m/>
  </r>
  <r>
    <x v="0"/>
    <x v="4"/>
    <x v="0"/>
    <s v="modesg_inp_emss_scib"/>
    <s v="origem_scp1"/>
    <x v="0"/>
    <s v="1. Concluído"/>
    <m/>
    <m/>
    <m/>
    <m/>
    <s v=""/>
    <s v=""/>
    <s v=""/>
    <m/>
    <m/>
    <m/>
    <m/>
    <m/>
    <x v="0"/>
    <m/>
  </r>
  <r>
    <x v="0"/>
    <x v="4"/>
    <x v="0"/>
    <s v="modesg_inp_emss_scib"/>
    <s v="origem_scp2"/>
    <x v="0"/>
    <s v="1. Concluído"/>
    <m/>
    <m/>
    <m/>
    <m/>
    <s v=""/>
    <s v=""/>
    <s v=""/>
    <m/>
    <m/>
    <m/>
    <m/>
    <m/>
    <x v="0"/>
    <m/>
  </r>
  <r>
    <x v="0"/>
    <x v="4"/>
    <x v="0"/>
    <s v="modesg_inp_emss_scib"/>
    <s v="origem_scp3"/>
    <x v="0"/>
    <s v="1. Concluído"/>
    <m/>
    <m/>
    <m/>
    <m/>
    <s v=""/>
    <s v=""/>
    <s v=""/>
    <m/>
    <m/>
    <m/>
    <m/>
    <m/>
    <x v="0"/>
    <m/>
  </r>
  <r>
    <x v="0"/>
    <x v="4"/>
    <x v="0"/>
    <s v="modesg_inp_emss_scib"/>
    <s v="ano_info"/>
    <x v="0"/>
    <s v="1. Concluído"/>
    <m/>
    <m/>
    <m/>
    <m/>
    <s v=""/>
    <s v=""/>
    <s v=""/>
    <m/>
    <m/>
    <m/>
    <m/>
    <m/>
    <x v="0"/>
    <m/>
  </r>
  <r>
    <x v="0"/>
    <x v="4"/>
    <x v="0"/>
    <s v="modesg_inp_emss_scib"/>
    <s v="divida_total"/>
    <x v="0"/>
    <s v="1. Concluído"/>
    <m/>
    <m/>
    <m/>
    <m/>
    <s v=""/>
    <s v=""/>
    <s v=""/>
    <m/>
    <m/>
    <m/>
    <m/>
    <m/>
    <x v="0"/>
    <m/>
  </r>
  <r>
    <x v="0"/>
    <x v="4"/>
    <x v="0"/>
    <s v="modesg_inp_emss_scib"/>
    <s v="capital_proprio"/>
    <x v="0"/>
    <s v="1. Concluído"/>
    <m/>
    <m/>
    <m/>
    <m/>
    <s v=""/>
    <s v=""/>
    <s v=""/>
    <m/>
    <m/>
    <m/>
    <m/>
    <m/>
    <x v="0"/>
    <m/>
  </r>
  <r>
    <x v="0"/>
    <x v="4"/>
    <x v="0"/>
    <s v="modesg_inp_emss_nace"/>
    <s v="ref_date"/>
    <x v="0"/>
    <s v="1. Concluído"/>
    <m/>
    <m/>
    <m/>
    <s v="Package X"/>
    <s v=""/>
    <s v=""/>
    <s v=""/>
    <m/>
    <m/>
    <m/>
    <m/>
    <m/>
    <x v="0"/>
    <m/>
  </r>
  <r>
    <x v="0"/>
    <x v="4"/>
    <x v="0"/>
    <s v="modesg_inp_emss_nace"/>
    <s v="ano"/>
    <x v="0"/>
    <s v="1. Concluído"/>
    <m/>
    <m/>
    <m/>
    <s v="Package X"/>
    <s v=""/>
    <s v=""/>
    <s v=""/>
    <m/>
    <m/>
    <m/>
    <m/>
    <m/>
    <x v="0"/>
    <m/>
  </r>
  <r>
    <x v="0"/>
    <x v="4"/>
    <x v="0"/>
    <s v="modesg_inp_emss_nace"/>
    <s v="nome_pais"/>
    <x v="0"/>
    <s v="1. Concluído"/>
    <m/>
    <m/>
    <m/>
    <s v="Package X"/>
    <s v=""/>
    <s v=""/>
    <s v=""/>
    <m/>
    <m/>
    <m/>
    <m/>
    <m/>
    <x v="0"/>
    <m/>
  </r>
  <r>
    <x v="0"/>
    <x v="4"/>
    <x v="0"/>
    <s v="modesg_inp_emss_nace"/>
    <s v="cod_nace_esg"/>
    <x v="0"/>
    <s v="1. Concluído"/>
    <m/>
    <m/>
    <m/>
    <s v="Package X"/>
    <s v=""/>
    <s v=""/>
    <s v=""/>
    <m/>
    <m/>
    <m/>
    <m/>
    <m/>
    <x v="0"/>
    <m/>
  </r>
  <r>
    <x v="0"/>
    <x v="4"/>
    <x v="0"/>
    <s v="modesg_inp_emss_nace"/>
    <s v="cod_class_indust"/>
    <x v="0"/>
    <s v="1. Concluído"/>
    <m/>
    <m/>
    <m/>
    <s v="Package X"/>
    <s v=""/>
    <s v=""/>
    <s v=""/>
    <m/>
    <m/>
    <m/>
    <m/>
    <m/>
    <x v="0"/>
    <m/>
  </r>
  <r>
    <x v="0"/>
    <x v="4"/>
    <x v="0"/>
    <s v="modesg_inp_emss_nace"/>
    <s v="nivel_classificacao_1"/>
    <x v="0"/>
    <s v="1. Concluído"/>
    <m/>
    <m/>
    <m/>
    <s v="Package X"/>
    <s v=""/>
    <s v=""/>
    <s v=""/>
    <m/>
    <m/>
    <m/>
    <m/>
    <m/>
    <x v="0"/>
    <m/>
  </r>
  <r>
    <x v="0"/>
    <x v="4"/>
    <x v="0"/>
    <s v="modesg_inp_emss_nace"/>
    <s v="classe_ativo"/>
    <x v="0"/>
    <s v="1. Concluído"/>
    <m/>
    <m/>
    <m/>
    <s v="Package X"/>
    <s v=""/>
    <s v=""/>
    <s v=""/>
    <m/>
    <m/>
    <m/>
    <m/>
    <m/>
    <x v="0"/>
    <m/>
  </r>
  <r>
    <x v="0"/>
    <x v="4"/>
    <x v="0"/>
    <s v="modesg_inp_emss_nace"/>
    <s v="opcao_metodologia"/>
    <x v="0"/>
    <s v="1. Concluído"/>
    <m/>
    <m/>
    <m/>
    <s v="Package X"/>
    <s v=""/>
    <s v=""/>
    <s v=""/>
    <m/>
    <m/>
    <m/>
    <m/>
    <m/>
    <x v="0"/>
    <m/>
  </r>
  <r>
    <x v="0"/>
    <x v="4"/>
    <x v="0"/>
    <s v="modesg_inp_emss_nace"/>
    <s v="unidade_funcional"/>
    <x v="0"/>
    <s v="1. Concluído"/>
    <m/>
    <m/>
    <m/>
    <s v="Package X"/>
    <s v=""/>
    <s v=""/>
    <s v=""/>
    <m/>
    <m/>
    <m/>
    <m/>
    <m/>
    <x v="0"/>
    <m/>
  </r>
  <r>
    <x v="0"/>
    <x v="4"/>
    <x v="0"/>
    <s v="modesg_inp_emss_nace"/>
    <s v="unidades_fator_de_emissao"/>
    <x v="0"/>
    <s v="1. Concluído"/>
    <m/>
    <m/>
    <m/>
    <s v="Package X"/>
    <s v=""/>
    <s v=""/>
    <s v=""/>
    <m/>
    <m/>
    <m/>
    <m/>
    <m/>
    <x v="0"/>
    <m/>
  </r>
  <r>
    <x v="0"/>
    <x v="4"/>
    <x v="0"/>
    <s v="modesg_inp_emss_nace"/>
    <s v="score_qualidade"/>
    <x v="0"/>
    <s v="1. Concluído"/>
    <m/>
    <m/>
    <m/>
    <s v="Package X"/>
    <s v=""/>
    <s v=""/>
    <s v=""/>
    <m/>
    <m/>
    <m/>
    <m/>
    <m/>
    <x v="0"/>
    <m/>
  </r>
  <r>
    <x v="0"/>
    <x v="4"/>
    <x v="0"/>
    <s v="modesg_inp_emss_nace"/>
    <s v="scp1_ftr_emss"/>
    <x v="0"/>
    <s v="1. Concluído"/>
    <m/>
    <m/>
    <m/>
    <s v="Package X"/>
    <s v=""/>
    <s v=""/>
    <s v=""/>
    <m/>
    <m/>
    <m/>
    <m/>
    <m/>
    <x v="0"/>
    <m/>
  </r>
  <r>
    <x v="0"/>
    <x v="4"/>
    <x v="0"/>
    <s v="modesg_inp_emss_nace"/>
    <s v="scp2_ftr_emss"/>
    <x v="0"/>
    <s v="1. Concluído"/>
    <m/>
    <m/>
    <m/>
    <s v="Package X"/>
    <s v=""/>
    <s v=""/>
    <s v=""/>
    <m/>
    <m/>
    <m/>
    <m/>
    <m/>
    <x v="0"/>
    <m/>
  </r>
  <r>
    <x v="0"/>
    <x v="4"/>
    <x v="0"/>
    <s v="modesg_inp_emss_nace"/>
    <s v="scp3_ftr_emss"/>
    <x v="0"/>
    <s v="1. Concluído"/>
    <m/>
    <m/>
    <m/>
    <s v="Package X"/>
    <s v=""/>
    <s v=""/>
    <s v=""/>
    <m/>
    <m/>
    <m/>
    <m/>
    <m/>
    <x v="0"/>
    <m/>
  </r>
  <r>
    <x v="0"/>
    <x v="4"/>
    <x v="0"/>
    <s v="modesg_inp_emss_bens_imoveis"/>
    <s v="ref_date"/>
    <x v="0"/>
    <s v="1. Concluído"/>
    <m/>
    <m/>
    <m/>
    <m/>
    <s v=""/>
    <s v=""/>
    <s v=""/>
    <m/>
    <m/>
    <m/>
    <m/>
    <m/>
    <x v="0"/>
    <m/>
  </r>
  <r>
    <x v="0"/>
    <x v="4"/>
    <x v="0"/>
    <s v="modesg_inp_emss_bens_imoveis"/>
    <s v="nome_pais"/>
    <x v="0"/>
    <s v="1. Concluído"/>
    <m/>
    <m/>
    <m/>
    <m/>
    <s v=""/>
    <s v=""/>
    <s v=""/>
    <m/>
    <m/>
    <m/>
    <m/>
    <m/>
    <x v="0"/>
    <m/>
  </r>
  <r>
    <x v="0"/>
    <x v="4"/>
    <x v="0"/>
    <s v="modesg_inp_emss_bens_imoveis"/>
    <s v="nome_estado"/>
    <x v="0"/>
    <s v="1. Concluído"/>
    <m/>
    <m/>
    <m/>
    <m/>
    <s v=""/>
    <s v=""/>
    <s v=""/>
    <m/>
    <m/>
    <m/>
    <m/>
    <m/>
    <x v="0"/>
    <m/>
  </r>
  <r>
    <x v="0"/>
    <x v="4"/>
    <x v="0"/>
    <s v="modesg_inp_emss_bens_imoveis"/>
    <s v="classe_ativo"/>
    <x v="0"/>
    <s v="1. Concluído"/>
    <m/>
    <m/>
    <m/>
    <m/>
    <s v=""/>
    <s v=""/>
    <s v=""/>
    <m/>
    <m/>
    <m/>
    <m/>
    <m/>
    <x v="0"/>
    <m/>
  </r>
  <r>
    <x v="0"/>
    <x v="4"/>
    <x v="0"/>
    <s v="modesg_inp_emss_bens_imoveis"/>
    <s v="tipo_fator_emissao"/>
    <x v="0"/>
    <s v="1. Concluído"/>
    <m/>
    <m/>
    <m/>
    <m/>
    <s v=""/>
    <s v=""/>
    <s v=""/>
    <m/>
    <m/>
    <m/>
    <m/>
    <m/>
    <x v="0"/>
    <m/>
  </r>
  <r>
    <x v="0"/>
    <x v="4"/>
    <x v="0"/>
    <s v="modesg_inp_emss_bens_imoveis"/>
    <s v="regiao"/>
    <x v="0"/>
    <s v="1. Concluído"/>
    <m/>
    <m/>
    <m/>
    <m/>
    <s v=""/>
    <s v=""/>
    <s v=""/>
    <m/>
    <m/>
    <m/>
    <m/>
    <m/>
    <x v="0"/>
    <m/>
  </r>
  <r>
    <x v="0"/>
    <x v="4"/>
    <x v="0"/>
    <s v="modesg_inp_emss_bens_imoveis"/>
    <s v="tipo_bem"/>
    <x v="0"/>
    <s v="1. Concluído"/>
    <m/>
    <m/>
    <m/>
    <m/>
    <s v=""/>
    <s v=""/>
    <s v=""/>
    <m/>
    <m/>
    <m/>
    <m/>
    <m/>
    <x v="0"/>
    <m/>
  </r>
  <r>
    <x v="0"/>
    <x v="4"/>
    <x v="0"/>
    <s v="modesg_inp_emss_bens_imoveis"/>
    <s v="tipo_finalidade_bem"/>
    <x v="0"/>
    <s v="1. Concluído"/>
    <m/>
    <m/>
    <m/>
    <m/>
    <s v=""/>
    <s v=""/>
    <s v=""/>
    <m/>
    <m/>
    <m/>
    <m/>
    <m/>
    <x v="0"/>
    <m/>
  </r>
  <r>
    <x v="0"/>
    <x v="4"/>
    <x v="0"/>
    <s v="modesg_inp_emss_bens_imoveis"/>
    <s v="epc"/>
    <x v="0"/>
    <s v="1. Concluído"/>
    <m/>
    <m/>
    <m/>
    <m/>
    <s v=""/>
    <s v=""/>
    <s v=""/>
    <m/>
    <m/>
    <m/>
    <m/>
    <m/>
    <x v="0"/>
    <m/>
  </r>
  <r>
    <x v="0"/>
    <x v="4"/>
    <x v="0"/>
    <s v="modesg_inp_emss_bens_imoveis"/>
    <s v="flg_ftr_emss_area"/>
    <x v="4"/>
    <s v="0. Cancelado"/>
    <m/>
    <m/>
    <m/>
    <m/>
    <s v=""/>
    <s v=""/>
    <s v=""/>
    <m/>
    <m/>
    <m/>
    <m/>
    <m/>
    <x v="0"/>
    <m/>
  </r>
  <r>
    <x v="0"/>
    <x v="4"/>
    <x v="0"/>
    <s v="modesg_inp_emss_bens_imoveis"/>
    <s v="nome_unidade_funcional"/>
    <x v="0"/>
    <s v="1. Concluído"/>
    <m/>
    <m/>
    <m/>
    <m/>
    <s v=""/>
    <s v=""/>
    <s v=""/>
    <m/>
    <m/>
    <m/>
    <m/>
    <m/>
    <x v="0"/>
    <m/>
  </r>
  <r>
    <x v="0"/>
    <x v="4"/>
    <x v="0"/>
    <s v="modesg_inp_emss_bens_imoveis"/>
    <s v="unidade_funcional"/>
    <x v="0"/>
    <s v="1. Concluído"/>
    <m/>
    <m/>
    <m/>
    <m/>
    <s v=""/>
    <s v=""/>
    <s v=""/>
    <m/>
    <m/>
    <m/>
    <m/>
    <m/>
    <x v="0"/>
    <m/>
  </r>
  <r>
    <x v="0"/>
    <x v="4"/>
    <x v="0"/>
    <s v="modesg_inp_emss_bens_imoveis"/>
    <s v="nome_fator_emissao"/>
    <x v="0"/>
    <s v="1. Concluído"/>
    <m/>
    <m/>
    <m/>
    <m/>
    <s v=""/>
    <s v=""/>
    <s v=""/>
    <m/>
    <m/>
    <m/>
    <m/>
    <m/>
    <x v="0"/>
    <m/>
  </r>
  <r>
    <x v="0"/>
    <x v="4"/>
    <x v="0"/>
    <s v="modesg_inp_emss_bens_imoveis"/>
    <s v="unidade_fator_de_emissao"/>
    <x v="0"/>
    <s v="1. Concluído"/>
    <m/>
    <m/>
    <m/>
    <m/>
    <s v=""/>
    <s v=""/>
    <s v=""/>
    <m/>
    <m/>
    <m/>
    <m/>
    <m/>
    <x v="0"/>
    <m/>
  </r>
  <r>
    <x v="0"/>
    <x v="4"/>
    <x v="0"/>
    <s v="modesg_inp_emss_bens_imoveis"/>
    <s v="score_qualidade"/>
    <x v="0"/>
    <s v="1. Concluído"/>
    <m/>
    <m/>
    <m/>
    <m/>
    <s v=""/>
    <s v=""/>
    <s v=""/>
    <m/>
    <m/>
    <m/>
    <m/>
    <m/>
    <x v="0"/>
    <m/>
  </r>
  <r>
    <x v="0"/>
    <x v="4"/>
    <x v="0"/>
    <s v="modesg_inp_emss_bens_imoveis"/>
    <s v="ano_fator_emissao"/>
    <x v="0"/>
    <s v="1. Concluído"/>
    <m/>
    <m/>
    <m/>
    <m/>
    <s v=""/>
    <s v=""/>
    <s v=""/>
    <m/>
    <m/>
    <m/>
    <m/>
    <m/>
    <x v="0"/>
    <m/>
  </r>
  <r>
    <x v="0"/>
    <x v="4"/>
    <x v="0"/>
    <s v="modesg_inp_emss_bens_imoveis"/>
    <s v="scp1_ftr_emss"/>
    <x v="0"/>
    <s v="1. Concluído"/>
    <m/>
    <m/>
    <m/>
    <m/>
    <s v=""/>
    <s v=""/>
    <s v=""/>
    <m/>
    <m/>
    <m/>
    <m/>
    <m/>
    <x v="0"/>
    <m/>
  </r>
  <r>
    <x v="0"/>
    <x v="4"/>
    <x v="0"/>
    <s v="modesg_inp_emss_bens_imoveis"/>
    <s v="scp2_ftr_emss"/>
    <x v="0"/>
    <s v="1. Concluído"/>
    <m/>
    <m/>
    <m/>
    <m/>
    <s v=""/>
    <s v=""/>
    <s v=""/>
    <m/>
    <m/>
    <m/>
    <m/>
    <m/>
    <x v="0"/>
    <m/>
  </r>
  <r>
    <x v="0"/>
    <x v="4"/>
    <x v="0"/>
    <s v="modesg_inp_project_finance"/>
    <s v="codigo_unidade"/>
    <x v="0"/>
    <s v="1. Concluído"/>
    <m/>
    <m/>
    <m/>
    <m/>
    <s v=""/>
    <s v=""/>
    <s v=""/>
    <m/>
    <m/>
    <m/>
    <m/>
    <m/>
    <x v="3"/>
    <s v="HF"/>
  </r>
  <r>
    <x v="0"/>
    <x v="4"/>
    <x v="0"/>
    <s v="modesg_inp_project_finance"/>
    <s v="nome_unidade"/>
    <x v="0"/>
    <s v="1. Concluído"/>
    <m/>
    <m/>
    <m/>
    <m/>
    <s v=""/>
    <s v=""/>
    <s v=""/>
    <m/>
    <m/>
    <m/>
    <m/>
    <m/>
    <x v="3"/>
    <s v="HF"/>
  </r>
  <r>
    <x v="0"/>
    <x v="4"/>
    <x v="0"/>
    <s v="modesg_inp_project_finance"/>
    <s v="kgl"/>
    <x v="0"/>
    <s v="1. Concluído"/>
    <m/>
    <m/>
    <m/>
    <m/>
    <s v=""/>
    <s v=""/>
    <s v=""/>
    <m/>
    <m/>
    <m/>
    <m/>
    <m/>
    <x v="3"/>
    <s v="HF"/>
  </r>
  <r>
    <x v="0"/>
    <x v="4"/>
    <x v="0"/>
    <s v="modesg_inp_project_finance"/>
    <s v="nome_legal_kgl"/>
    <x v="0"/>
    <s v="1. Concluído"/>
    <m/>
    <m/>
    <m/>
    <m/>
    <s v=""/>
    <s v=""/>
    <s v=""/>
    <m/>
    <m/>
    <m/>
    <m/>
    <m/>
    <x v="3"/>
    <s v="HF"/>
  </r>
  <r>
    <x v="0"/>
    <x v="4"/>
    <x v="0"/>
    <s v="modesg_inp_project_finance"/>
    <s v="kgl_top_entidade_principal"/>
    <x v="0"/>
    <s v="1. Concluído"/>
    <m/>
    <m/>
    <m/>
    <m/>
    <s v=""/>
    <s v=""/>
    <s v=""/>
    <m/>
    <m/>
    <m/>
    <m/>
    <m/>
    <x v="3"/>
    <s v="HF"/>
  </r>
  <r>
    <x v="0"/>
    <x v="4"/>
    <x v="0"/>
    <s v="modesg_inp_project_finance"/>
    <s v="kgl_entidade_principal"/>
    <x v="0"/>
    <s v="1. Concluído"/>
    <m/>
    <m/>
    <m/>
    <m/>
    <s v=""/>
    <s v=""/>
    <s v=""/>
    <m/>
    <m/>
    <m/>
    <m/>
    <m/>
    <x v="3"/>
    <s v="HF"/>
  </r>
  <r>
    <x v="0"/>
    <x v="4"/>
    <x v="0"/>
    <s v="modesg_inp_project_finance"/>
    <s v="nome_top_entidade_principal"/>
    <x v="0"/>
    <s v="1. Concluído"/>
    <m/>
    <m/>
    <m/>
    <m/>
    <s v=""/>
    <s v=""/>
    <s v=""/>
    <m/>
    <m/>
    <m/>
    <m/>
    <m/>
    <x v="3"/>
    <s v="HF"/>
  </r>
  <r>
    <x v="0"/>
    <x v="4"/>
    <x v="0"/>
    <s v="modesg_inp_project_finance"/>
    <s v="codigo_unidade_operativa"/>
    <x v="0"/>
    <s v="1. Concluído"/>
    <m/>
    <m/>
    <m/>
    <m/>
    <s v=""/>
    <s v=""/>
    <s v=""/>
    <m/>
    <m/>
    <m/>
    <m/>
    <m/>
    <x v="3"/>
    <s v="HF"/>
  </r>
  <r>
    <x v="0"/>
    <x v="4"/>
    <x v="0"/>
    <s v="modesg_inp_project_finance"/>
    <s v="nome_entidade_operativa"/>
    <x v="0"/>
    <s v="1. Concluído"/>
    <m/>
    <m/>
    <m/>
    <m/>
    <s v=""/>
    <s v=""/>
    <s v=""/>
    <m/>
    <m/>
    <m/>
    <m/>
    <m/>
    <x v="3"/>
    <s v="HF"/>
  </r>
  <r>
    <x v="0"/>
    <x v="2"/>
    <x v="1"/>
    <s v="modesg_out_bens_imoveis"/>
    <s v="n.a."/>
    <x v="0"/>
    <s v="1. Concluído"/>
    <m/>
    <m/>
    <m/>
    <m/>
    <s v=""/>
    <s v=""/>
    <s v=""/>
    <m/>
    <m/>
    <m/>
    <m/>
    <m/>
    <x v="0"/>
    <m/>
  </r>
  <r>
    <x v="0"/>
    <x v="2"/>
    <x v="0"/>
    <s v="modesg_out_bens_imoveis"/>
    <s v="cempbem"/>
    <x v="0"/>
    <s v="1. Concluído"/>
    <m/>
    <m/>
    <m/>
    <m/>
    <s v=""/>
    <s v=""/>
    <s v=""/>
    <m/>
    <m/>
    <m/>
    <m/>
    <m/>
    <x v="0"/>
    <m/>
  </r>
  <r>
    <x v="0"/>
    <x v="2"/>
    <x v="0"/>
    <s v="modesg_out_bens_imoveis"/>
    <s v="ckbalbem"/>
    <x v="0"/>
    <s v="1. Concluído"/>
    <m/>
    <m/>
    <m/>
    <m/>
    <s v=""/>
    <s v=""/>
    <s v=""/>
    <m/>
    <m/>
    <m/>
    <m/>
    <m/>
    <x v="0"/>
    <m/>
  </r>
  <r>
    <x v="0"/>
    <x v="2"/>
    <x v="0"/>
    <s v="modesg_out_bens_imoveis"/>
    <s v="ckctabem"/>
    <x v="0"/>
    <s v="1. Concluído"/>
    <m/>
    <m/>
    <m/>
    <m/>
    <s v=""/>
    <s v=""/>
    <s v=""/>
    <m/>
    <m/>
    <m/>
    <m/>
    <m/>
    <x v="0"/>
    <m/>
  </r>
  <r>
    <x v="0"/>
    <x v="2"/>
    <x v="0"/>
    <s v="modesg_out_bens_imoveis"/>
    <s v="ckrefbem"/>
    <x v="0"/>
    <s v="1. Concluído"/>
    <m/>
    <m/>
    <m/>
    <m/>
    <s v=""/>
    <s v=""/>
    <s v=""/>
    <m/>
    <m/>
    <m/>
    <m/>
    <m/>
    <x v="0"/>
    <m/>
  </r>
  <r>
    <x v="0"/>
    <x v="2"/>
    <x v="0"/>
    <s v="modesg_out_bens_imoveis"/>
    <s v="origem_scp1_emss"/>
    <x v="0"/>
    <s v="1. Concluído"/>
    <m/>
    <m/>
    <m/>
    <s v="Package X"/>
    <s v=""/>
    <s v=""/>
    <s v=""/>
    <m/>
    <m/>
    <m/>
    <m/>
    <m/>
    <x v="0"/>
    <m/>
  </r>
  <r>
    <x v="0"/>
    <x v="2"/>
    <x v="0"/>
    <s v="modesg_out_bens_imoveis"/>
    <s v="origem_scp2_emss"/>
    <x v="0"/>
    <s v="1. Concluído"/>
    <m/>
    <m/>
    <m/>
    <s v="Package X"/>
    <s v=""/>
    <s v=""/>
    <s v=""/>
    <m/>
    <m/>
    <m/>
    <m/>
    <m/>
    <x v="0"/>
    <m/>
  </r>
  <r>
    <x v="0"/>
    <x v="2"/>
    <x v="0"/>
    <s v="modesg_out_bens_imoveis"/>
    <s v="origem_scp3_emss"/>
    <x v="0"/>
    <s v="1. Concluído"/>
    <m/>
    <m/>
    <m/>
    <s v="Package X"/>
    <s v=""/>
    <s v=""/>
    <s v=""/>
    <m/>
    <m/>
    <m/>
    <m/>
    <m/>
    <x v="0"/>
    <m/>
  </r>
  <r>
    <x v="0"/>
    <x v="2"/>
    <x v="0"/>
    <s v="modesg_out_bens_imoveis"/>
    <s v="ref_date"/>
    <x v="0"/>
    <s v="1. Concluído"/>
    <m/>
    <m/>
    <m/>
    <m/>
    <s v=""/>
    <s v=""/>
    <s v=""/>
    <m/>
    <m/>
    <m/>
    <m/>
    <m/>
    <x v="0"/>
    <m/>
  </r>
  <r>
    <x v="0"/>
    <x v="2"/>
    <x v="0"/>
    <s v="modesg_out_bens_imoveis"/>
    <s v="scp1_emss"/>
    <x v="0"/>
    <s v="1. Concluído"/>
    <m/>
    <m/>
    <m/>
    <s v="Package X"/>
    <s v=""/>
    <s v=""/>
    <s v=""/>
    <m/>
    <m/>
    <m/>
    <m/>
    <m/>
    <x v="0"/>
    <m/>
  </r>
  <r>
    <x v="0"/>
    <x v="2"/>
    <x v="0"/>
    <s v="modesg_out_bens_imoveis"/>
    <s v="scp2_emss"/>
    <x v="0"/>
    <s v="1. Concluído"/>
    <m/>
    <m/>
    <m/>
    <s v="Package X"/>
    <s v=""/>
    <s v=""/>
    <s v=""/>
    <m/>
    <m/>
    <m/>
    <m/>
    <m/>
    <x v="0"/>
    <m/>
  </r>
  <r>
    <x v="0"/>
    <x v="2"/>
    <x v="0"/>
    <s v="modesg_out_bens_imoveis"/>
    <s v="scp3_emss"/>
    <x v="0"/>
    <s v="1. Concluído"/>
    <m/>
    <m/>
    <m/>
    <s v="Package X"/>
    <s v=""/>
    <s v=""/>
    <s v=""/>
    <m/>
    <m/>
    <m/>
    <m/>
    <m/>
    <x v="0"/>
    <m/>
  </r>
  <r>
    <x v="0"/>
    <x v="2"/>
    <x v="0"/>
    <s v="modesg_out_bens_imoveis"/>
    <s v="unidade_funcional_scp1_emss"/>
    <x v="0"/>
    <s v="1. Concluído"/>
    <m/>
    <m/>
    <m/>
    <s v="Package X"/>
    <s v=""/>
    <s v=""/>
    <s v=""/>
    <m/>
    <m/>
    <m/>
    <m/>
    <m/>
    <x v="0"/>
    <m/>
  </r>
  <r>
    <x v="0"/>
    <x v="2"/>
    <x v="0"/>
    <s v="modesg_out_bens_imoveis"/>
    <s v="unidade_funcional_scp2_emss"/>
    <x v="0"/>
    <s v="1. Concluído"/>
    <m/>
    <m/>
    <m/>
    <s v="Package X"/>
    <s v=""/>
    <s v=""/>
    <s v=""/>
    <m/>
    <m/>
    <m/>
    <m/>
    <m/>
    <x v="0"/>
    <m/>
  </r>
  <r>
    <x v="0"/>
    <x v="2"/>
    <x v="0"/>
    <s v="modesg_out_bens_imoveis"/>
    <s v="unidade_funcional_scp3_emss"/>
    <x v="0"/>
    <s v="1. Concluído"/>
    <m/>
    <m/>
    <m/>
    <s v="Package X"/>
    <s v=""/>
    <s v=""/>
    <s v=""/>
    <m/>
    <m/>
    <m/>
    <m/>
    <m/>
    <x v="0"/>
    <m/>
  </r>
  <r>
    <x v="0"/>
    <x v="2"/>
    <x v="1"/>
    <s v="modesg_out_empr_info_nfin"/>
    <s v="n.a."/>
    <x v="0"/>
    <s v="1. Concluído"/>
    <m/>
    <m/>
    <m/>
    <m/>
    <s v=""/>
    <s v=""/>
    <s v=""/>
    <m/>
    <m/>
    <m/>
    <m/>
    <m/>
    <x v="0"/>
    <m/>
  </r>
  <r>
    <x v="0"/>
    <x v="2"/>
    <x v="0"/>
    <s v="modesg_out_empr_info_nfin"/>
    <s v="cca_capex_enblng_algnd"/>
    <x v="0"/>
    <s v="1. Concluído"/>
    <m/>
    <m/>
    <m/>
    <m/>
    <s v=""/>
    <s v=""/>
    <s v=""/>
    <m/>
    <m/>
    <m/>
    <m/>
    <m/>
    <x v="0"/>
    <m/>
  </r>
  <r>
    <x v="0"/>
    <x v="2"/>
    <x v="0"/>
    <s v="modesg_out_empr_info_nfin"/>
    <s v="cca_capex_own_prfrmnce_algnd"/>
    <x v="0"/>
    <s v="1. Concluído"/>
    <m/>
    <m/>
    <m/>
    <m/>
    <s v=""/>
    <s v=""/>
    <s v=""/>
    <m/>
    <m/>
    <m/>
    <m/>
    <m/>
    <x v="0"/>
    <m/>
  </r>
  <r>
    <x v="0"/>
    <x v="2"/>
    <x v="0"/>
    <s v="modesg_out_empr_info_nfin"/>
    <s v="cca_capex_ttl_elgbl"/>
    <x v="0"/>
    <s v="1. Concluído"/>
    <m/>
    <m/>
    <m/>
    <m/>
    <s v=""/>
    <s v=""/>
    <s v=""/>
    <m/>
    <m/>
    <m/>
    <m/>
    <m/>
    <x v="0"/>
    <m/>
  </r>
  <r>
    <x v="0"/>
    <x v="2"/>
    <x v="0"/>
    <s v="modesg_out_empr_info_nfin"/>
    <s v="cca_trnvr_enblng_alignd"/>
    <x v="0"/>
    <s v="1. Concluído"/>
    <m/>
    <m/>
    <m/>
    <m/>
    <s v=""/>
    <s v=""/>
    <s v=""/>
    <m/>
    <m/>
    <m/>
    <m/>
    <m/>
    <x v="0"/>
    <m/>
  </r>
  <r>
    <x v="0"/>
    <x v="2"/>
    <x v="0"/>
    <s v="modesg_out_empr_info_nfin"/>
    <s v="cca_trnvr_ttl_elgbl"/>
    <x v="0"/>
    <s v="1. Concluído"/>
    <m/>
    <m/>
    <m/>
    <m/>
    <s v=""/>
    <s v=""/>
    <s v=""/>
    <m/>
    <m/>
    <m/>
    <m/>
    <m/>
    <x v="0"/>
    <m/>
  </r>
  <r>
    <x v="0"/>
    <x v="2"/>
    <x v="0"/>
    <s v="modesg_out_empr_info_nfin"/>
    <s v="cca_turnover_own_prfrmnce_algnd"/>
    <x v="0"/>
    <s v="1. Concluído"/>
    <m/>
    <m/>
    <m/>
    <m/>
    <s v=""/>
    <s v=""/>
    <s v=""/>
    <m/>
    <m/>
    <m/>
    <m/>
    <m/>
    <x v="0"/>
    <m/>
  </r>
  <r>
    <x v="0"/>
    <x v="2"/>
    <x v="0"/>
    <s v="modesg_out_empr_info_nfin"/>
    <s v="ccm_capex_enblng_algnd"/>
    <x v="0"/>
    <s v="1. Concluído"/>
    <m/>
    <m/>
    <m/>
    <m/>
    <s v=""/>
    <s v=""/>
    <s v=""/>
    <m/>
    <m/>
    <m/>
    <m/>
    <m/>
    <x v="0"/>
    <m/>
  </r>
  <r>
    <x v="0"/>
    <x v="2"/>
    <x v="0"/>
    <s v="modesg_out_empr_info_nfin"/>
    <s v="ccm_capex_own_prfrmnce_algnd"/>
    <x v="0"/>
    <s v="1. Concluído"/>
    <m/>
    <m/>
    <m/>
    <m/>
    <s v=""/>
    <s v=""/>
    <s v=""/>
    <m/>
    <m/>
    <m/>
    <m/>
    <m/>
    <x v="0"/>
    <m/>
  </r>
  <r>
    <x v="0"/>
    <x v="2"/>
    <x v="0"/>
    <s v="modesg_out_empr_info_nfin"/>
    <s v="ccm_capex_trnstn_algnd"/>
    <x v="0"/>
    <s v="1. Concluído"/>
    <m/>
    <m/>
    <m/>
    <m/>
    <s v=""/>
    <s v=""/>
    <s v=""/>
    <m/>
    <m/>
    <m/>
    <m/>
    <m/>
    <x v="0"/>
    <m/>
  </r>
  <r>
    <x v="0"/>
    <x v="2"/>
    <x v="0"/>
    <s v="modesg_out_empr_info_nfin"/>
    <s v="ccm_capex_ttl_elgbl"/>
    <x v="0"/>
    <s v="1. Concluído"/>
    <m/>
    <m/>
    <m/>
    <m/>
    <s v=""/>
    <s v=""/>
    <s v=""/>
    <m/>
    <m/>
    <m/>
    <m/>
    <m/>
    <x v="0"/>
    <m/>
  </r>
  <r>
    <x v="0"/>
    <x v="2"/>
    <x v="0"/>
    <s v="modesg_out_empr_info_nfin"/>
    <s v="ccm_trnvr_enblng_algnd"/>
    <x v="0"/>
    <s v="1. Concluído"/>
    <m/>
    <m/>
    <m/>
    <m/>
    <s v=""/>
    <s v=""/>
    <s v=""/>
    <m/>
    <m/>
    <m/>
    <m/>
    <m/>
    <x v="0"/>
    <m/>
  </r>
  <r>
    <x v="0"/>
    <x v="2"/>
    <x v="0"/>
    <s v="modesg_out_empr_info_nfin"/>
    <s v="ccm_trnvr_own_prfrmnce_algnd"/>
    <x v="0"/>
    <s v="1. Concluído"/>
    <m/>
    <m/>
    <m/>
    <m/>
    <s v=""/>
    <s v=""/>
    <s v=""/>
    <m/>
    <m/>
    <m/>
    <m/>
    <m/>
    <x v="0"/>
    <m/>
  </r>
  <r>
    <x v="0"/>
    <x v="2"/>
    <x v="0"/>
    <s v="modesg_out_empr_info_nfin"/>
    <s v="ccm_trnvr_trnstn_alignd"/>
    <x v="0"/>
    <s v="1. Concluído"/>
    <m/>
    <m/>
    <m/>
    <m/>
    <s v=""/>
    <s v=""/>
    <s v=""/>
    <m/>
    <m/>
    <m/>
    <m/>
    <m/>
    <x v="0"/>
    <m/>
  </r>
  <r>
    <x v="0"/>
    <x v="2"/>
    <x v="0"/>
    <s v="modesg_out_empr_info_nfin"/>
    <s v="ccm_trnvr_ttl_elgbl"/>
    <x v="0"/>
    <s v="1. Concluído"/>
    <m/>
    <m/>
    <m/>
    <m/>
    <s v=""/>
    <s v=""/>
    <s v=""/>
    <m/>
    <m/>
    <m/>
    <m/>
    <m/>
    <x v="0"/>
    <m/>
  </r>
  <r>
    <x v="0"/>
    <x v="2"/>
    <x v="0"/>
    <s v="modesg_out_empr_info_nfin"/>
    <s v="flg_emprs_excl_paris"/>
    <x v="0"/>
    <s v="1. Concluído"/>
    <m/>
    <m/>
    <m/>
    <m/>
    <s v=""/>
    <s v=""/>
    <s v=""/>
    <m/>
    <m/>
    <m/>
    <m/>
    <m/>
    <x v="0"/>
    <m/>
  </r>
  <r>
    <x v="0"/>
    <x v="2"/>
    <x v="0"/>
    <s v="modesg_out_empr_info_nfin"/>
    <s v="flg_nfrd"/>
    <x v="0"/>
    <s v="1. Concluído"/>
    <m/>
    <m/>
    <m/>
    <m/>
    <s v=""/>
    <s v=""/>
    <s v=""/>
    <m/>
    <m/>
    <m/>
    <m/>
    <m/>
    <x v="0"/>
    <m/>
  </r>
  <r>
    <x v="0"/>
    <x v="2"/>
    <x v="0"/>
    <s v="modesg_out_empr_info_nfin"/>
    <s v="origem_alinhamentos"/>
    <x v="0"/>
    <s v="1. Concluído"/>
    <m/>
    <m/>
    <m/>
    <m/>
    <s v=""/>
    <s v=""/>
    <s v=""/>
    <m/>
    <m/>
    <m/>
    <m/>
    <m/>
    <x v="0"/>
    <m/>
  </r>
  <r>
    <x v="0"/>
    <x v="2"/>
    <x v="0"/>
    <s v="modesg_out_empr_info_nfin"/>
    <s v="origem_flg_emprs_excl_paris"/>
    <x v="0"/>
    <s v="1. Concluído"/>
    <m/>
    <m/>
    <m/>
    <m/>
    <s v=""/>
    <s v=""/>
    <s v=""/>
    <m/>
    <m/>
    <m/>
    <m/>
    <m/>
    <x v="0"/>
    <m/>
  </r>
  <r>
    <x v="0"/>
    <x v="2"/>
    <x v="0"/>
    <s v="modesg_out_empr_info_nfin"/>
    <s v="origem_flg_nfrd"/>
    <x v="0"/>
    <s v="1. Concluído"/>
    <m/>
    <m/>
    <m/>
    <m/>
    <s v=""/>
    <s v=""/>
    <s v=""/>
    <m/>
    <m/>
    <m/>
    <m/>
    <m/>
    <x v="0"/>
    <m/>
  </r>
  <r>
    <x v="0"/>
    <x v="2"/>
    <x v="0"/>
    <s v="modesg_out_empr_info_nfin"/>
    <s v="ref_date"/>
    <x v="0"/>
    <s v="1. Concluído"/>
    <m/>
    <m/>
    <m/>
    <m/>
    <s v=""/>
    <s v=""/>
    <s v=""/>
    <m/>
    <m/>
    <m/>
    <m/>
    <m/>
    <x v="0"/>
    <m/>
  </r>
  <r>
    <x v="0"/>
    <x v="2"/>
    <x v="0"/>
    <s v="modesg_out_empr_info_nfin"/>
    <s v="zcliente"/>
    <x v="0"/>
    <s v="1. Concluído"/>
    <m/>
    <m/>
    <m/>
    <m/>
    <s v=""/>
    <s v=""/>
    <s v=""/>
    <m/>
    <m/>
    <m/>
    <m/>
    <m/>
    <x v="0"/>
    <m/>
  </r>
  <r>
    <x v="0"/>
    <x v="2"/>
    <x v="1"/>
    <s v="modesg_out_emss_vcls"/>
    <s v="n.a."/>
    <x v="0"/>
    <s v="1. Concluído"/>
    <m/>
    <m/>
    <m/>
    <m/>
    <s v=""/>
    <s v=""/>
    <s v=""/>
    <m/>
    <m/>
    <m/>
    <m/>
    <m/>
    <x v="0"/>
    <m/>
  </r>
  <r>
    <x v="0"/>
    <x v="2"/>
    <x v="0"/>
    <s v="modesg_out_emss_vcls"/>
    <s v="cempbem"/>
    <x v="0"/>
    <s v="1. Concluído"/>
    <m/>
    <m/>
    <m/>
    <m/>
    <s v=""/>
    <s v=""/>
    <s v=""/>
    <m/>
    <m/>
    <m/>
    <m/>
    <m/>
    <x v="0"/>
    <m/>
  </r>
  <r>
    <x v="0"/>
    <x v="2"/>
    <x v="0"/>
    <s v="modesg_out_emss_vcls"/>
    <s v="ckbalbem"/>
    <x v="0"/>
    <s v="1. Concluído"/>
    <m/>
    <m/>
    <m/>
    <m/>
    <s v=""/>
    <s v=""/>
    <s v=""/>
    <m/>
    <m/>
    <m/>
    <m/>
    <m/>
    <x v="0"/>
    <m/>
  </r>
  <r>
    <x v="0"/>
    <x v="2"/>
    <x v="0"/>
    <s v="modesg_out_emss_vcls"/>
    <s v="ckctabem"/>
    <x v="0"/>
    <s v="1. Concluído"/>
    <m/>
    <m/>
    <m/>
    <m/>
    <s v=""/>
    <s v=""/>
    <s v=""/>
    <m/>
    <m/>
    <m/>
    <m/>
    <m/>
    <x v="0"/>
    <m/>
  </r>
  <r>
    <x v="0"/>
    <x v="2"/>
    <x v="0"/>
    <s v="modesg_out_emss_vcls"/>
    <s v="ckrefbem"/>
    <x v="0"/>
    <s v="1. Concluído"/>
    <m/>
    <m/>
    <m/>
    <m/>
    <s v=""/>
    <s v=""/>
    <s v=""/>
    <m/>
    <m/>
    <m/>
    <m/>
    <m/>
    <x v="0"/>
    <m/>
  </r>
  <r>
    <x v="0"/>
    <x v="2"/>
    <x v="0"/>
    <s v="modesg_out_emss_vcls"/>
    <s v="cnsm_co2"/>
    <x v="0"/>
    <s v="1. Concluído"/>
    <m/>
    <m/>
    <m/>
    <m/>
    <s v=""/>
    <s v=""/>
    <s v=""/>
    <m/>
    <m/>
    <m/>
    <m/>
    <m/>
    <x v="0"/>
    <m/>
  </r>
  <r>
    <x v="0"/>
    <x v="2"/>
    <x v="0"/>
    <s v="modesg_out_emss_vcls"/>
    <s v="origem_scp1_emss"/>
    <x v="0"/>
    <s v="1. Concluído"/>
    <m/>
    <m/>
    <m/>
    <s v="Package X"/>
    <s v=""/>
    <s v=""/>
    <s v=""/>
    <m/>
    <m/>
    <m/>
    <m/>
    <m/>
    <x v="0"/>
    <m/>
  </r>
  <r>
    <x v="0"/>
    <x v="2"/>
    <x v="0"/>
    <s v="modesg_out_emss_vcls"/>
    <s v="origem_scp2_emss"/>
    <x v="0"/>
    <s v="1. Concluído"/>
    <m/>
    <m/>
    <m/>
    <s v="Package X"/>
    <s v=""/>
    <s v=""/>
    <s v=""/>
    <m/>
    <m/>
    <m/>
    <m/>
    <m/>
    <x v="0"/>
    <m/>
  </r>
  <r>
    <x v="0"/>
    <x v="2"/>
    <x v="0"/>
    <s v="modesg_out_emss_vcls"/>
    <s v="origem_scp3_emss"/>
    <x v="0"/>
    <s v="1. Concluído"/>
    <m/>
    <m/>
    <m/>
    <s v="Package X"/>
    <s v=""/>
    <s v=""/>
    <s v=""/>
    <m/>
    <m/>
    <m/>
    <m/>
    <m/>
    <x v="0"/>
    <m/>
  </r>
  <r>
    <x v="0"/>
    <x v="2"/>
    <x v="0"/>
    <s v="modesg_out_emss_vcls"/>
    <s v="ref_date"/>
    <x v="0"/>
    <s v="1. Concluído"/>
    <m/>
    <m/>
    <m/>
    <m/>
    <s v=""/>
    <s v=""/>
    <s v=""/>
    <m/>
    <m/>
    <m/>
    <m/>
    <m/>
    <x v="0"/>
    <m/>
  </r>
  <r>
    <x v="0"/>
    <x v="2"/>
    <x v="0"/>
    <s v="modesg_out_emss_vcls"/>
    <s v="scp1_emss"/>
    <x v="0"/>
    <s v="1. Concluído"/>
    <m/>
    <m/>
    <m/>
    <s v="Package X"/>
    <s v=""/>
    <s v=""/>
    <s v=""/>
    <m/>
    <m/>
    <m/>
    <m/>
    <m/>
    <x v="0"/>
    <m/>
  </r>
  <r>
    <x v="0"/>
    <x v="2"/>
    <x v="0"/>
    <s v="modesg_out_emss_vcls"/>
    <s v="scp2_emss"/>
    <x v="0"/>
    <s v="1. Concluído"/>
    <m/>
    <m/>
    <m/>
    <s v="Package X"/>
    <s v=""/>
    <s v=""/>
    <s v=""/>
    <m/>
    <m/>
    <m/>
    <m/>
    <m/>
    <x v="0"/>
    <m/>
  </r>
  <r>
    <x v="0"/>
    <x v="2"/>
    <x v="0"/>
    <s v="modesg_out_emss_vcls"/>
    <s v="scp3_emss"/>
    <x v="0"/>
    <s v="1. Concluído"/>
    <m/>
    <m/>
    <m/>
    <s v="Package X"/>
    <s v=""/>
    <s v=""/>
    <s v=""/>
    <m/>
    <m/>
    <m/>
    <m/>
    <m/>
    <x v="0"/>
    <m/>
  </r>
  <r>
    <x v="0"/>
    <x v="2"/>
    <x v="0"/>
    <s v="modesg_out_emss_vcls"/>
    <s v="unidade_funcional_scp1_emss"/>
    <x v="0"/>
    <s v="1. Concluído"/>
    <m/>
    <m/>
    <m/>
    <s v="Package X"/>
    <s v=""/>
    <s v=""/>
    <s v=""/>
    <m/>
    <m/>
    <m/>
    <m/>
    <m/>
    <x v="0"/>
    <m/>
  </r>
  <r>
    <x v="0"/>
    <x v="2"/>
    <x v="0"/>
    <s v="modesg_out_emss_vcls"/>
    <s v="unidade_funcional_scp2_emss"/>
    <x v="0"/>
    <s v="1. Concluído"/>
    <m/>
    <m/>
    <m/>
    <s v="Package X"/>
    <s v=""/>
    <s v=""/>
    <s v=""/>
    <m/>
    <m/>
    <m/>
    <m/>
    <m/>
    <x v="0"/>
    <m/>
  </r>
  <r>
    <x v="0"/>
    <x v="2"/>
    <x v="0"/>
    <s v="modesg_out_emss_vcls"/>
    <s v="unidade_funcional_scp3_emss"/>
    <x v="0"/>
    <s v="1. Concluído"/>
    <m/>
    <m/>
    <m/>
    <s v="Package X"/>
    <s v=""/>
    <s v=""/>
    <s v=""/>
    <m/>
    <m/>
    <m/>
    <m/>
    <m/>
    <x v="0"/>
    <m/>
  </r>
  <r>
    <x v="0"/>
    <x v="2"/>
    <x v="0"/>
    <s v="modesg_out_sfics_taxon_europeia"/>
    <s v="ordem"/>
    <x v="4"/>
    <s v="0. Cancelado"/>
    <m/>
    <m/>
    <m/>
    <m/>
    <s v=""/>
    <s v=""/>
    <s v=""/>
    <m/>
    <m/>
    <m/>
    <m/>
    <m/>
    <x v="0"/>
    <m/>
  </r>
  <r>
    <x v="0"/>
    <x v="1"/>
    <x v="0"/>
    <s v="lt003_entity"/>
    <s v="txnmy_elgbl_capex_ccm"/>
    <x v="0"/>
    <s v="1. Concluído"/>
    <m/>
    <m/>
    <m/>
    <m/>
    <s v=""/>
    <s v=""/>
    <s v=""/>
    <m/>
    <m/>
    <m/>
    <m/>
    <m/>
    <x v="0"/>
    <m/>
  </r>
  <r>
    <x v="0"/>
    <x v="1"/>
    <x v="0"/>
    <s v="lt003_entity"/>
    <s v="txnmy_elgbl_trnvr_ccm"/>
    <x v="0"/>
    <s v="1. Concluído"/>
    <m/>
    <m/>
    <m/>
    <m/>
    <s v=""/>
    <s v=""/>
    <s v=""/>
    <m/>
    <m/>
    <m/>
    <m/>
    <m/>
    <x v="0"/>
    <m/>
  </r>
  <r>
    <x v="0"/>
    <x v="1"/>
    <x v="0"/>
    <s v="lt003_entity"/>
    <s v="txnmy_elgbl_capex_cca"/>
    <x v="0"/>
    <s v="1. Concluído"/>
    <m/>
    <m/>
    <m/>
    <m/>
    <s v=""/>
    <s v=""/>
    <s v=""/>
    <m/>
    <m/>
    <m/>
    <m/>
    <m/>
    <x v="0"/>
    <m/>
  </r>
  <r>
    <x v="0"/>
    <x v="1"/>
    <x v="0"/>
    <s v="lt003_entity"/>
    <s v="txnmy_elgbl_trnvr_cca"/>
    <x v="0"/>
    <s v="1. Concluído"/>
    <m/>
    <m/>
    <m/>
    <m/>
    <s v=""/>
    <s v=""/>
    <s v=""/>
    <m/>
    <m/>
    <m/>
    <m/>
    <m/>
    <x v="0"/>
    <m/>
  </r>
  <r>
    <x v="0"/>
    <x v="1"/>
    <x v="0"/>
    <s v="lt003_entity"/>
    <s v="enblng_capex_ccm"/>
    <x v="0"/>
    <s v="1. Concluído"/>
    <m/>
    <m/>
    <m/>
    <m/>
    <s v=""/>
    <s v=""/>
    <s v=""/>
    <m/>
    <m/>
    <m/>
    <m/>
    <m/>
    <x v="0"/>
    <m/>
  </r>
  <r>
    <x v="0"/>
    <x v="1"/>
    <x v="0"/>
    <s v="lt003_entity"/>
    <s v="enblng_capex_cca"/>
    <x v="0"/>
    <s v="1. Concluído"/>
    <m/>
    <m/>
    <m/>
    <m/>
    <s v=""/>
    <s v=""/>
    <s v=""/>
    <m/>
    <m/>
    <m/>
    <m/>
    <m/>
    <x v="0"/>
    <m/>
  </r>
  <r>
    <x v="0"/>
    <x v="1"/>
    <x v="0"/>
    <s v="lt003_entity"/>
    <s v="trnstnl_capex"/>
    <x v="0"/>
    <s v="1. Concluído"/>
    <m/>
    <m/>
    <m/>
    <m/>
    <s v=""/>
    <s v=""/>
    <s v=""/>
    <m/>
    <m/>
    <m/>
    <m/>
    <m/>
    <x v="0"/>
    <m/>
  </r>
  <r>
    <x v="0"/>
    <x v="1"/>
    <x v="0"/>
    <s v="lt003_entity"/>
    <s v="pure_capex_ccm"/>
    <x v="0"/>
    <s v="1. Concluído"/>
    <m/>
    <m/>
    <m/>
    <m/>
    <s v=""/>
    <s v=""/>
    <s v=""/>
    <m/>
    <m/>
    <m/>
    <m/>
    <m/>
    <x v="0"/>
    <m/>
  </r>
  <r>
    <x v="0"/>
    <x v="1"/>
    <x v="0"/>
    <s v="lt003_entity"/>
    <s v="pure_capex_cca"/>
    <x v="0"/>
    <s v="1. Concluído"/>
    <m/>
    <m/>
    <m/>
    <m/>
    <s v=""/>
    <s v=""/>
    <s v=""/>
    <m/>
    <m/>
    <m/>
    <m/>
    <m/>
    <x v="0"/>
    <m/>
  </r>
  <r>
    <x v="0"/>
    <x v="1"/>
    <x v="0"/>
    <s v="lt003_entity"/>
    <s v="enblng_trnvr_ccm"/>
    <x v="0"/>
    <s v="1. Concluído"/>
    <m/>
    <m/>
    <m/>
    <m/>
    <s v=""/>
    <s v=""/>
    <s v=""/>
    <m/>
    <m/>
    <m/>
    <m/>
    <m/>
    <x v="0"/>
    <m/>
  </r>
  <r>
    <x v="0"/>
    <x v="1"/>
    <x v="0"/>
    <s v="lt003_entity"/>
    <s v="enblng_trnvr_cca"/>
    <x v="0"/>
    <s v="1. Concluído"/>
    <m/>
    <m/>
    <m/>
    <m/>
    <s v=""/>
    <s v=""/>
    <s v=""/>
    <m/>
    <m/>
    <m/>
    <m/>
    <m/>
    <x v="0"/>
    <m/>
  </r>
  <r>
    <x v="0"/>
    <x v="1"/>
    <x v="0"/>
    <s v="lt003_entity"/>
    <s v="trnstnl_trnvr"/>
    <x v="0"/>
    <s v="1. Concluído"/>
    <m/>
    <m/>
    <m/>
    <m/>
    <s v=""/>
    <s v=""/>
    <s v=""/>
    <m/>
    <m/>
    <m/>
    <m/>
    <m/>
    <x v="0"/>
    <m/>
  </r>
  <r>
    <x v="0"/>
    <x v="1"/>
    <x v="0"/>
    <s v="lt003_entity"/>
    <s v="pure_trnvr_ccm"/>
    <x v="0"/>
    <s v="1. Concluído"/>
    <m/>
    <m/>
    <m/>
    <m/>
    <s v=""/>
    <s v=""/>
    <s v=""/>
    <m/>
    <m/>
    <m/>
    <m/>
    <m/>
    <x v="0"/>
    <m/>
  </r>
  <r>
    <x v="0"/>
    <x v="1"/>
    <x v="0"/>
    <s v="lt003_entity"/>
    <s v="pure_trnvr_cca"/>
    <x v="0"/>
    <s v="1. Concluído"/>
    <m/>
    <m/>
    <m/>
    <m/>
    <s v=""/>
    <s v=""/>
    <s v=""/>
    <m/>
    <m/>
    <m/>
    <m/>
    <m/>
    <x v="0"/>
    <m/>
  </r>
  <r>
    <x v="0"/>
    <x v="1"/>
    <x v="0"/>
    <s v="lt003_entity"/>
    <s v="flg_nfrd_applcblty"/>
    <x v="0"/>
    <s v="1. Concluído"/>
    <m/>
    <m/>
    <m/>
    <m/>
    <s v=""/>
    <s v=""/>
    <s v=""/>
    <m/>
    <m/>
    <m/>
    <m/>
    <m/>
    <x v="0"/>
    <m/>
  </r>
  <r>
    <x v="0"/>
    <x v="1"/>
    <x v="0"/>
    <s v="lt003_entity"/>
    <s v="cntrprty_emssns_scp1"/>
    <x v="0"/>
    <s v="1. Concluído"/>
    <m/>
    <m/>
    <m/>
    <m/>
    <s v=""/>
    <s v=""/>
    <s v=""/>
    <m/>
    <m/>
    <m/>
    <m/>
    <m/>
    <x v="0"/>
    <m/>
  </r>
  <r>
    <x v="0"/>
    <x v="1"/>
    <x v="0"/>
    <s v="lt003_entity"/>
    <s v="cntrprty_emssns_scp2"/>
    <x v="0"/>
    <s v="1. Concluído"/>
    <m/>
    <m/>
    <m/>
    <m/>
    <s v=""/>
    <s v=""/>
    <s v=""/>
    <m/>
    <m/>
    <m/>
    <m/>
    <m/>
    <x v="0"/>
    <m/>
  </r>
  <r>
    <x v="0"/>
    <x v="1"/>
    <x v="0"/>
    <s v="lt003_entity"/>
    <s v="cntrprty_emssns_scp3"/>
    <x v="0"/>
    <s v="1. Concluído"/>
    <m/>
    <m/>
    <m/>
    <m/>
    <s v=""/>
    <s v=""/>
    <s v=""/>
    <m/>
    <m/>
    <m/>
    <m/>
    <m/>
    <x v="0"/>
    <m/>
  </r>
  <r>
    <x v="0"/>
    <x v="1"/>
    <x v="0"/>
    <s v="lt003_entity"/>
    <s v="flg_excldd_eu_prs_algnd_bnchmrk"/>
    <x v="0"/>
    <s v="1. Concluído"/>
    <m/>
    <m/>
    <m/>
    <m/>
    <s v=""/>
    <s v=""/>
    <s v=""/>
    <m/>
    <m/>
    <m/>
    <m/>
    <m/>
    <x v="0"/>
    <m/>
  </r>
  <r>
    <x v="0"/>
    <x v="1"/>
    <x v="0"/>
    <s v="lt003_entity"/>
    <s v="pst_cd"/>
    <x v="0"/>
    <s v="1. Concluído"/>
    <m/>
    <m/>
    <m/>
    <m/>
    <s v=""/>
    <s v=""/>
    <s v=""/>
    <m/>
    <m/>
    <m/>
    <m/>
    <m/>
    <x v="0"/>
    <m/>
  </r>
  <r>
    <x v="0"/>
    <x v="1"/>
    <x v="0"/>
    <s v="lt003_entity"/>
    <s v="ttl_lblty"/>
    <x v="0"/>
    <s v="1. Concluído"/>
    <m/>
    <m/>
    <m/>
    <m/>
    <s v=""/>
    <s v=""/>
    <s v=""/>
    <d v="2024-10-28T00:00:00"/>
    <m/>
    <m/>
    <m/>
    <m/>
    <x v="0"/>
    <m/>
  </r>
  <r>
    <x v="0"/>
    <x v="1"/>
    <x v="0"/>
    <s v="lt003_entity"/>
    <s v="isin"/>
    <x v="0"/>
    <s v="1. Concluído"/>
    <m/>
    <m/>
    <m/>
    <m/>
    <s v=""/>
    <s v=""/>
    <s v=""/>
    <d v="2024-10-23T00:00:00"/>
    <m/>
    <m/>
    <m/>
    <m/>
    <x v="0"/>
    <m/>
  </r>
  <r>
    <x v="0"/>
    <x v="1"/>
    <x v="0"/>
    <s v="lt003_entity"/>
    <s v="grp_annl_trnvr_le"/>
    <x v="0"/>
    <s v="1. Concluído"/>
    <m/>
    <m/>
    <m/>
    <m/>
    <s v=""/>
    <s v=""/>
    <s v=""/>
    <d v="2024-10-28T00:00:00"/>
    <m/>
    <m/>
    <m/>
    <m/>
    <x v="0"/>
    <m/>
  </r>
  <r>
    <x v="0"/>
    <x v="1"/>
    <x v="0"/>
    <s v="lt003_entity"/>
    <s v="grp_ttl_lblty"/>
    <x v="0"/>
    <s v="1. Concluído"/>
    <m/>
    <m/>
    <m/>
    <m/>
    <s v=""/>
    <s v=""/>
    <s v=""/>
    <d v="2024-10-28T00:00:00"/>
    <m/>
    <m/>
    <m/>
    <m/>
    <x v="0"/>
    <m/>
  </r>
  <r>
    <x v="0"/>
    <x v="1"/>
    <x v="0"/>
    <s v="lt003_entity"/>
    <s v="flg_grp_nfrd_applcblty"/>
    <x v="0"/>
    <s v="1. Concluído"/>
    <m/>
    <m/>
    <m/>
    <m/>
    <s v=""/>
    <s v=""/>
    <s v=""/>
    <d v="2024-10-23T00:00:00"/>
    <m/>
    <m/>
    <m/>
    <m/>
    <x v="0"/>
    <m/>
  </r>
  <r>
    <x v="0"/>
    <x v="1"/>
    <x v="0"/>
    <s v="lt003_entity"/>
    <s v="grp_emssns_scp1"/>
    <x v="0"/>
    <s v="1. Concluído"/>
    <m/>
    <m/>
    <m/>
    <m/>
    <s v=""/>
    <s v=""/>
    <s v=""/>
    <d v="2024-10-23T00:00:00"/>
    <m/>
    <m/>
    <m/>
    <m/>
    <x v="0"/>
    <m/>
  </r>
  <r>
    <x v="0"/>
    <x v="1"/>
    <x v="0"/>
    <s v="lt003_entity"/>
    <s v="grp_emssns_scp2"/>
    <x v="0"/>
    <s v="1. Concluído"/>
    <m/>
    <m/>
    <m/>
    <m/>
    <s v=""/>
    <s v=""/>
    <s v=""/>
    <d v="2024-10-23T00:00:00"/>
    <m/>
    <m/>
    <m/>
    <m/>
    <x v="0"/>
    <m/>
  </r>
  <r>
    <x v="0"/>
    <x v="1"/>
    <x v="0"/>
    <s v="lt003_entity"/>
    <s v="grp_emssns_scp3"/>
    <x v="0"/>
    <s v="1. Concluído"/>
    <m/>
    <m/>
    <m/>
    <m/>
    <s v=""/>
    <s v=""/>
    <s v=""/>
    <d v="2024-10-23T00:00:00"/>
    <m/>
    <m/>
    <m/>
    <m/>
    <x v="0"/>
    <m/>
  </r>
  <r>
    <x v="0"/>
    <x v="1"/>
    <x v="0"/>
    <s v="lt004_protection"/>
    <s v="typ_epc_lbl"/>
    <x v="0"/>
    <s v="1. Concluído"/>
    <m/>
    <m/>
    <m/>
    <s v="Package X"/>
    <s v=""/>
    <s v=""/>
    <s v=""/>
    <m/>
    <m/>
    <m/>
    <m/>
    <m/>
    <x v="0"/>
    <m/>
  </r>
  <r>
    <x v="0"/>
    <x v="1"/>
    <x v="0"/>
    <s v="lt004_protection"/>
    <s v="epc_lbl"/>
    <x v="0"/>
    <s v="1. Concluído"/>
    <m/>
    <m/>
    <m/>
    <s v="Package X"/>
    <s v=""/>
    <s v=""/>
    <s v=""/>
    <m/>
    <m/>
    <m/>
    <m/>
    <m/>
    <x v="0"/>
    <m/>
  </r>
  <r>
    <x v="0"/>
    <x v="1"/>
    <x v="0"/>
    <s v="lt004_protection"/>
    <s v="emssns_scp1_prtctn"/>
    <x v="0"/>
    <s v="1. Concluído"/>
    <m/>
    <m/>
    <m/>
    <s v="Package X"/>
    <s v=""/>
    <s v=""/>
    <s v=""/>
    <m/>
    <m/>
    <m/>
    <m/>
    <m/>
    <x v="0"/>
    <m/>
  </r>
  <r>
    <x v="0"/>
    <x v="1"/>
    <x v="0"/>
    <s v="lt004_protection"/>
    <s v="emssns_scp2_prtctn"/>
    <x v="0"/>
    <s v="1. Concluído"/>
    <m/>
    <m/>
    <m/>
    <s v="Package X"/>
    <s v=""/>
    <s v=""/>
    <s v=""/>
    <m/>
    <m/>
    <m/>
    <m/>
    <m/>
    <x v="0"/>
    <m/>
  </r>
  <r>
    <x v="0"/>
    <x v="1"/>
    <x v="0"/>
    <s v="lt004_protection"/>
    <s v="emssns_scp3_prtctn"/>
    <x v="0"/>
    <s v="1. Concluído"/>
    <m/>
    <m/>
    <m/>
    <s v="Package X"/>
    <s v=""/>
    <s v=""/>
    <s v=""/>
    <m/>
    <m/>
    <m/>
    <m/>
    <m/>
    <x v="0"/>
    <m/>
  </r>
  <r>
    <x v="0"/>
    <x v="1"/>
    <x v="0"/>
    <s v="lt004_protection"/>
    <s v="mthd_usd_prtctn_scp_1"/>
    <x v="0"/>
    <s v="1. Concluído"/>
    <m/>
    <m/>
    <m/>
    <s v="Package X"/>
    <s v=""/>
    <s v=""/>
    <s v=""/>
    <m/>
    <m/>
    <m/>
    <m/>
    <m/>
    <x v="0"/>
    <m/>
  </r>
  <r>
    <x v="0"/>
    <x v="1"/>
    <x v="0"/>
    <s v="lt004_protection"/>
    <s v="mthd_usd_prtctn_scp_2"/>
    <x v="0"/>
    <s v="1. Concluído"/>
    <m/>
    <m/>
    <m/>
    <s v="Package X"/>
    <s v=""/>
    <s v=""/>
    <s v=""/>
    <m/>
    <m/>
    <m/>
    <m/>
    <m/>
    <x v="0"/>
    <m/>
  </r>
  <r>
    <x v="0"/>
    <x v="1"/>
    <x v="0"/>
    <s v="lt004_protection"/>
    <s v="mthd_usd_prtctn_scp_3"/>
    <x v="0"/>
    <s v="1. Concluído"/>
    <m/>
    <m/>
    <m/>
    <s v="Package X"/>
    <s v=""/>
    <s v=""/>
    <s v=""/>
    <m/>
    <m/>
    <m/>
    <m/>
    <m/>
    <x v="0"/>
    <m/>
  </r>
  <r>
    <x v="0"/>
    <x v="1"/>
    <x v="0"/>
    <s v="lt002_instrument"/>
    <s v="rsk_mtgtd_cct"/>
    <x v="0"/>
    <s v="1. Concluído"/>
    <m/>
    <m/>
    <m/>
    <m/>
    <s v=""/>
    <s v=""/>
    <s v=""/>
    <d v="2024-10-30T00:00:00"/>
    <m/>
    <m/>
    <m/>
    <m/>
    <x v="0"/>
    <m/>
  </r>
  <r>
    <x v="0"/>
    <x v="1"/>
    <x v="0"/>
    <s v="lt007_instr_activity"/>
    <s v="envrnmntl_objctv"/>
    <x v="0"/>
    <s v="1. Concluído"/>
    <m/>
    <m/>
    <m/>
    <m/>
    <s v=""/>
    <s v=""/>
    <s v=""/>
    <d v="2024-10-28T00:00:00"/>
    <m/>
    <m/>
    <m/>
    <m/>
    <x v="0"/>
    <s v="Voltar a ver"/>
  </r>
  <r>
    <x v="0"/>
    <x v="1"/>
    <x v="0"/>
    <s v="lt007_instr_activity"/>
    <s v="typ_actvty"/>
    <x v="0"/>
    <s v="1. Concluído"/>
    <m/>
    <m/>
    <m/>
    <m/>
    <s v=""/>
    <s v=""/>
    <s v=""/>
    <d v="2024-10-28T00:00:00"/>
    <m/>
    <m/>
    <m/>
    <m/>
    <x v="0"/>
    <s v="Voltar a ver"/>
  </r>
  <r>
    <x v="0"/>
    <x v="1"/>
    <x v="0"/>
    <s v="lt002_instrument"/>
    <s v="lns_clltrlzd_clssfctn"/>
    <x v="0"/>
    <s v="1. Concluído"/>
    <m/>
    <m/>
    <m/>
    <m/>
    <s v=""/>
    <s v=""/>
    <s v=""/>
    <m/>
    <m/>
    <m/>
    <m/>
    <m/>
    <x v="0"/>
    <m/>
  </r>
  <r>
    <x v="0"/>
    <x v="1"/>
    <x v="0"/>
    <s v="lt827_mthd_usd_instrmnt"/>
    <s v="ambito"/>
    <x v="0"/>
    <s v="1. Concluído"/>
    <m/>
    <m/>
    <m/>
    <m/>
    <s v=""/>
    <s v=""/>
    <s v=""/>
    <d v="2024-10-28T00:00:00"/>
    <m/>
    <m/>
    <m/>
    <m/>
    <x v="0"/>
    <m/>
  </r>
  <r>
    <x v="0"/>
    <x v="1"/>
    <x v="0"/>
    <s v="lt827_mthd_usd_instrmnt"/>
    <s v="ref_date"/>
    <x v="0"/>
    <s v="1. Concluído"/>
    <m/>
    <m/>
    <m/>
    <m/>
    <s v=""/>
    <s v=""/>
    <s v=""/>
    <d v="2024-10-28T00:00:00"/>
    <m/>
    <m/>
    <m/>
    <m/>
    <x v="0"/>
    <m/>
  </r>
  <r>
    <x v="0"/>
    <x v="1"/>
    <x v="0"/>
    <s v="lt827_mthd_usd_instrmnt"/>
    <s v="ordem"/>
    <x v="0"/>
    <s v="1. Concluído"/>
    <m/>
    <m/>
    <m/>
    <m/>
    <s v=""/>
    <s v=""/>
    <s v=""/>
    <d v="2024-10-28T00:00:00"/>
    <m/>
    <m/>
    <m/>
    <m/>
    <x v="0"/>
    <m/>
  </r>
  <r>
    <x v="0"/>
    <x v="1"/>
    <x v="0"/>
    <s v="lt827_mthd_usd_instrmnt"/>
    <s v="tabela"/>
    <x v="0"/>
    <s v="1. Concluído"/>
    <m/>
    <m/>
    <m/>
    <m/>
    <s v=""/>
    <s v=""/>
    <s v=""/>
    <d v="2024-10-28T00:00:00"/>
    <m/>
    <m/>
    <m/>
    <m/>
    <x v="0"/>
    <m/>
  </r>
  <r>
    <x v="0"/>
    <x v="1"/>
    <x v="0"/>
    <s v="lt827_mthd_usd_instrmnt"/>
    <s v="origem_scp1_emss"/>
    <x v="0"/>
    <s v="1. Concluído"/>
    <m/>
    <m/>
    <m/>
    <m/>
    <s v=""/>
    <s v=""/>
    <s v=""/>
    <d v="2024-10-28T00:00:00"/>
    <m/>
    <m/>
    <m/>
    <m/>
    <x v="0"/>
    <m/>
  </r>
  <r>
    <x v="0"/>
    <x v="1"/>
    <x v="0"/>
    <s v="lt827_mthd_usd_instrmnt"/>
    <s v="origem_scp2_emss"/>
    <x v="0"/>
    <s v="1. Concluído"/>
    <m/>
    <m/>
    <m/>
    <m/>
    <s v=""/>
    <s v=""/>
    <s v=""/>
    <d v="2024-10-28T00:00:00"/>
    <m/>
    <m/>
    <m/>
    <m/>
    <x v="0"/>
    <m/>
  </r>
  <r>
    <x v="0"/>
    <x v="1"/>
    <x v="0"/>
    <s v="lt827_mthd_usd_instrmnt"/>
    <s v="origem_scp3_emss"/>
    <x v="0"/>
    <s v="1. Concluído"/>
    <m/>
    <m/>
    <m/>
    <m/>
    <s v=""/>
    <s v=""/>
    <s v=""/>
    <d v="2024-10-28T00:00:00"/>
    <m/>
    <m/>
    <m/>
    <m/>
    <x v="0"/>
    <m/>
  </r>
  <r>
    <x v="0"/>
    <x v="1"/>
    <x v="0"/>
    <s v="lt827_mthd_usd_instrmnt"/>
    <s v="mthd_usd_instrmnt_scp_1"/>
    <x v="0"/>
    <s v="1. Concluído"/>
    <m/>
    <m/>
    <m/>
    <m/>
    <s v=""/>
    <s v=""/>
    <s v=""/>
    <d v="2024-10-28T00:00:00"/>
    <m/>
    <m/>
    <m/>
    <m/>
    <x v="0"/>
    <m/>
  </r>
  <r>
    <x v="0"/>
    <x v="1"/>
    <x v="0"/>
    <s v="lt827_mthd_usd_instrmnt"/>
    <s v="mthd_usd_instrmnt_scp_2"/>
    <x v="0"/>
    <s v="1. Concluído"/>
    <m/>
    <m/>
    <m/>
    <m/>
    <e v="#REF!"/>
    <e v="#REF!"/>
    <e v="#REF!"/>
    <d v="2024-10-28T00:00:00"/>
    <m/>
    <m/>
    <m/>
    <m/>
    <x v="0"/>
    <m/>
  </r>
  <r>
    <x v="0"/>
    <x v="1"/>
    <x v="0"/>
    <s v="lt827_mthd_usd_instrmnt"/>
    <s v="mthd_usd_instrmnt_scp_3"/>
    <x v="0"/>
    <s v="1. Concluído"/>
    <m/>
    <m/>
    <m/>
    <m/>
    <s v=""/>
    <s v=""/>
    <s v=""/>
    <d v="2024-10-28T00:00:00"/>
    <m/>
    <m/>
    <m/>
    <m/>
    <x v="0"/>
    <m/>
  </r>
  <r>
    <x v="0"/>
    <x v="1"/>
    <x v="0"/>
    <s v="lt827_mthd_usd_instrmnt"/>
    <s v="purpose_code"/>
    <x v="0"/>
    <s v="1. Concluído"/>
    <m/>
    <m/>
    <m/>
    <m/>
    <s v=""/>
    <s v=""/>
    <s v=""/>
    <m/>
    <m/>
    <m/>
    <m/>
    <m/>
    <x v="0"/>
    <m/>
  </r>
  <r>
    <x v="0"/>
    <x v="1"/>
    <x v="0"/>
    <s v="lt827_mthd_usd_instrmnt"/>
    <s v="flg_fin"/>
    <x v="0"/>
    <s v="1. Concluído"/>
    <m/>
    <m/>
    <m/>
    <m/>
    <s v=""/>
    <s v=""/>
    <s v=""/>
    <m/>
    <m/>
    <m/>
    <m/>
    <m/>
    <x v="0"/>
    <m/>
  </r>
  <r>
    <x v="0"/>
    <x v="1"/>
    <x v="0"/>
    <s v="lt827_mthd_usd_instrmnt"/>
    <s v="flg_exec"/>
    <x v="0"/>
    <s v="1. Concluído"/>
    <m/>
    <m/>
    <m/>
    <m/>
    <s v=""/>
    <s v=""/>
    <s v=""/>
    <m/>
    <m/>
    <m/>
    <m/>
    <m/>
    <x v="0"/>
    <m/>
  </r>
  <r>
    <x v="0"/>
    <x v="1"/>
    <x v="0"/>
    <s v="lt827_mthd_usd_instrmnt"/>
    <s v="flg_col"/>
    <x v="0"/>
    <s v="1. Concluído"/>
    <m/>
    <m/>
    <m/>
    <m/>
    <s v=""/>
    <s v=""/>
    <s v=""/>
    <m/>
    <m/>
    <m/>
    <m/>
    <m/>
    <x v="0"/>
    <m/>
  </r>
  <r>
    <x v="0"/>
    <x v="1"/>
    <x v="0"/>
    <s v="lt827_mthd_usd_instrmnt"/>
    <s v="flg_pro"/>
    <x v="0"/>
    <s v="1. Concluído"/>
    <m/>
    <m/>
    <m/>
    <m/>
    <s v=""/>
    <s v=""/>
    <s v=""/>
    <m/>
    <m/>
    <m/>
    <m/>
    <m/>
    <x v="0"/>
    <m/>
  </r>
  <r>
    <x v="0"/>
    <x v="1"/>
    <x v="0"/>
    <s v="lt826_esg_sbsctr"/>
    <s v="ambito"/>
    <x v="0"/>
    <s v="1. Concluído"/>
    <m/>
    <m/>
    <m/>
    <m/>
    <s v=""/>
    <s v=""/>
    <s v=""/>
    <m/>
    <m/>
    <m/>
    <m/>
    <m/>
    <x v="0"/>
    <m/>
  </r>
  <r>
    <x v="0"/>
    <x v="1"/>
    <x v="0"/>
    <s v="lt826_esg_sbsctr"/>
    <s v="ref_date"/>
    <x v="0"/>
    <s v="1. Concluído"/>
    <m/>
    <m/>
    <m/>
    <m/>
    <s v=""/>
    <s v=""/>
    <s v=""/>
    <m/>
    <m/>
    <m/>
    <m/>
    <m/>
    <x v="0"/>
    <m/>
  </r>
  <r>
    <x v="0"/>
    <x v="1"/>
    <x v="0"/>
    <s v="lt826_esg_sbsctr"/>
    <s v="ordem"/>
    <x v="0"/>
    <s v="1. Concluído"/>
    <m/>
    <m/>
    <m/>
    <m/>
    <s v=""/>
    <s v=""/>
    <s v=""/>
    <m/>
    <m/>
    <m/>
    <m/>
    <m/>
    <x v="0"/>
    <m/>
  </r>
  <r>
    <x v="0"/>
    <x v="1"/>
    <x v="0"/>
    <s v="lt826_esg_sbsctr"/>
    <s v="nace_code"/>
    <x v="0"/>
    <s v="1. Concluído"/>
    <m/>
    <m/>
    <m/>
    <m/>
    <s v=""/>
    <s v=""/>
    <s v=""/>
    <m/>
    <m/>
    <m/>
    <m/>
    <m/>
    <x v="0"/>
    <m/>
  </r>
  <r>
    <x v="0"/>
    <x v="1"/>
    <x v="0"/>
    <s v="lt826_esg_sbsctr"/>
    <s v="contraparte"/>
    <x v="0"/>
    <s v="1. Concluído"/>
    <m/>
    <m/>
    <m/>
    <m/>
    <s v=""/>
    <s v=""/>
    <s v=""/>
    <m/>
    <m/>
    <m/>
    <m/>
    <m/>
    <x v="0"/>
    <m/>
  </r>
  <r>
    <x v="0"/>
    <x v="1"/>
    <x v="0"/>
    <s v="lt826_esg_sbsctr"/>
    <s v="cnatureza_juri"/>
    <x v="0"/>
    <s v="1. Concluído"/>
    <m/>
    <m/>
    <m/>
    <m/>
    <s v=""/>
    <s v=""/>
    <s v=""/>
    <m/>
    <m/>
    <m/>
    <m/>
    <m/>
    <x v="0"/>
    <m/>
  </r>
  <r>
    <x v="0"/>
    <x v="1"/>
    <x v="0"/>
    <s v="lt826_esg_sbsctr"/>
    <s v="idcomb"/>
    <x v="0"/>
    <s v="1. Concluído"/>
    <m/>
    <m/>
    <m/>
    <m/>
    <s v=""/>
    <s v=""/>
    <s v=""/>
    <m/>
    <m/>
    <m/>
    <m/>
    <m/>
    <x v="0"/>
    <m/>
  </r>
  <r>
    <x v="0"/>
    <x v="1"/>
    <x v="0"/>
    <s v="lt826_esg_sbsctr"/>
    <s v="esg_sbsctr"/>
    <x v="0"/>
    <s v="1. Concluído"/>
    <m/>
    <m/>
    <m/>
    <m/>
    <s v=""/>
    <s v=""/>
    <s v=""/>
    <m/>
    <m/>
    <m/>
    <m/>
    <m/>
    <x v="0"/>
    <m/>
  </r>
  <r>
    <x v="0"/>
    <x v="1"/>
    <x v="0"/>
    <s v="lt826_esg_sbsctr"/>
    <s v="descrição"/>
    <x v="0"/>
    <s v="1. Concluído"/>
    <m/>
    <m/>
    <m/>
    <m/>
    <s v=""/>
    <s v=""/>
    <s v=""/>
    <m/>
    <m/>
    <m/>
    <m/>
    <m/>
    <x v="0"/>
    <m/>
  </r>
  <r>
    <x v="0"/>
    <x v="1"/>
    <x v="0"/>
    <s v="lt002_instrument"/>
    <s v="dt_rfrnc"/>
    <x v="0"/>
    <s v="1. Concluído"/>
    <m/>
    <m/>
    <m/>
    <m/>
    <s v=""/>
    <s v=""/>
    <s v=""/>
    <m/>
    <m/>
    <m/>
    <m/>
    <m/>
    <x v="0"/>
    <m/>
  </r>
  <r>
    <x v="0"/>
    <x v="1"/>
    <x v="0"/>
    <s v="lt002_instrument"/>
    <s v="instrmnt_id"/>
    <x v="0"/>
    <s v="1. Concluído"/>
    <m/>
    <m/>
    <m/>
    <m/>
    <s v=""/>
    <s v=""/>
    <s v=""/>
    <m/>
    <m/>
    <m/>
    <m/>
    <m/>
    <x v="0"/>
    <m/>
  </r>
  <r>
    <x v="0"/>
    <x v="1"/>
    <x v="0"/>
    <s v="lt002_instrument"/>
    <s v="dt_incptn"/>
    <x v="0"/>
    <s v="1. Concluído"/>
    <m/>
    <m/>
    <m/>
    <m/>
    <s v=""/>
    <s v=""/>
    <s v=""/>
    <m/>
    <m/>
    <m/>
    <m/>
    <m/>
    <x v="0"/>
    <m/>
  </r>
  <r>
    <x v="0"/>
    <x v="1"/>
    <x v="0"/>
    <s v="lt002_instrument"/>
    <s v="dflt_stts_instrmnt"/>
    <x v="0"/>
    <s v="1. Concluído"/>
    <m/>
    <m/>
    <m/>
    <m/>
    <s v=""/>
    <s v=""/>
    <s v=""/>
    <m/>
    <m/>
    <m/>
    <m/>
    <m/>
    <x v="0"/>
    <m/>
  </r>
  <r>
    <x v="0"/>
    <x v="1"/>
    <x v="0"/>
    <s v="lt002_instrument"/>
    <s v="imprmnt_stts"/>
    <x v="0"/>
    <s v="1. Concluído"/>
    <m/>
    <m/>
    <m/>
    <m/>
    <s v=""/>
    <s v=""/>
    <s v=""/>
    <m/>
    <m/>
    <m/>
    <m/>
    <m/>
    <x v="0"/>
    <m/>
  </r>
  <r>
    <x v="0"/>
    <x v="1"/>
    <x v="0"/>
    <s v="lt002_instrument"/>
    <s v="prfrmng_stts"/>
    <x v="0"/>
    <s v="1. Concluído"/>
    <m/>
    <m/>
    <m/>
    <m/>
    <s v=""/>
    <s v=""/>
    <s v=""/>
    <m/>
    <m/>
    <m/>
    <m/>
    <m/>
    <x v="0"/>
    <m/>
  </r>
  <r>
    <x v="0"/>
    <x v="1"/>
    <x v="0"/>
    <s v="lt002_instrument"/>
    <s v="prjct_fnnc_ln"/>
    <x v="0"/>
    <s v="1. Concluído"/>
    <m/>
    <m/>
    <m/>
    <m/>
    <s v=""/>
    <s v=""/>
    <s v=""/>
    <m/>
    <m/>
    <m/>
    <m/>
    <m/>
    <x v="0"/>
    <m/>
  </r>
  <r>
    <x v="0"/>
    <x v="1"/>
    <x v="0"/>
    <s v="lt002_instrument"/>
    <s v="typ_instrmnt"/>
    <x v="0"/>
    <s v="1. Concluído"/>
    <m/>
    <m/>
    <m/>
    <m/>
    <s v=""/>
    <s v=""/>
    <s v=""/>
    <m/>
    <m/>
    <m/>
    <m/>
    <m/>
    <x v="0"/>
    <m/>
  </r>
  <r>
    <x v="0"/>
    <x v="1"/>
    <x v="0"/>
    <s v="lt002_instrument"/>
    <s v="grss_crryng_amnt_instrmnt"/>
    <x v="0"/>
    <s v="1. Concluído"/>
    <m/>
    <m/>
    <m/>
    <m/>
    <s v=""/>
    <s v=""/>
    <s v=""/>
    <m/>
    <m/>
    <m/>
    <m/>
    <m/>
    <x v="0"/>
    <m/>
  </r>
  <r>
    <x v="0"/>
    <x v="1"/>
    <x v="0"/>
    <s v="lt002_instrument"/>
    <s v="accmltd_chngs_fv_cr_instrmnt"/>
    <x v="0"/>
    <s v="1. Concluído"/>
    <m/>
    <m/>
    <m/>
    <m/>
    <s v=""/>
    <s v=""/>
    <s v=""/>
    <m/>
    <m/>
    <m/>
    <m/>
    <m/>
    <x v="0"/>
    <m/>
  </r>
  <r>
    <x v="0"/>
    <x v="1"/>
    <x v="0"/>
    <s v="lt002_instrument"/>
    <s v="accntng_clssfctn"/>
    <x v="0"/>
    <s v="1. Concluído"/>
    <m/>
    <m/>
    <m/>
    <m/>
    <s v=""/>
    <s v=""/>
    <s v=""/>
    <m/>
    <m/>
    <m/>
    <m/>
    <m/>
    <x v="0"/>
    <m/>
  </r>
  <r>
    <x v="0"/>
    <x v="1"/>
    <x v="0"/>
    <s v="lt002_instrument"/>
    <s v="dt_lgl_fnl_mtrty"/>
    <x v="0"/>
    <s v="1. Concluído"/>
    <m/>
    <m/>
    <m/>
    <m/>
    <s v=""/>
    <s v=""/>
    <s v=""/>
    <m/>
    <m/>
    <m/>
    <m/>
    <m/>
    <x v="0"/>
    <m/>
  </r>
  <r>
    <x v="0"/>
    <x v="1"/>
    <x v="0"/>
    <s v="lt002_instrument"/>
    <s v="accmltd_imprmnt_instrmnt"/>
    <x v="0"/>
    <s v="1. Concluído"/>
    <m/>
    <m/>
    <m/>
    <m/>
    <s v=""/>
    <s v=""/>
    <s v=""/>
    <m/>
    <m/>
    <m/>
    <m/>
    <m/>
    <x v="0"/>
    <m/>
  </r>
  <r>
    <x v="0"/>
    <x v="1"/>
    <x v="0"/>
    <s v="lt002_instrument"/>
    <s v="issr_cntry"/>
    <x v="0"/>
    <s v="1. Concluído"/>
    <m/>
    <m/>
    <m/>
    <m/>
    <s v=""/>
    <s v=""/>
    <s v=""/>
    <m/>
    <m/>
    <m/>
    <m/>
    <m/>
    <x v="0"/>
    <m/>
  </r>
  <r>
    <x v="0"/>
    <x v="1"/>
    <x v="0"/>
    <s v="lt002_instrument"/>
    <s v="issr_nace_sctr"/>
    <x v="0"/>
    <s v="1. Concluído"/>
    <m/>
    <m/>
    <m/>
    <m/>
    <s v=""/>
    <s v=""/>
    <s v=""/>
    <m/>
    <m/>
    <m/>
    <m/>
    <m/>
    <x v="0"/>
    <m/>
  </r>
  <r>
    <x v="0"/>
    <x v="1"/>
    <x v="0"/>
    <s v="lt002_instrument"/>
    <s v="prmry_asst_clssf"/>
    <x v="0"/>
    <s v="1. Concluído"/>
    <m/>
    <m/>
    <m/>
    <m/>
    <s v=""/>
    <s v=""/>
    <s v=""/>
    <m/>
    <m/>
    <m/>
    <m/>
    <m/>
    <x v="0"/>
    <m/>
  </r>
  <r>
    <x v="0"/>
    <x v="1"/>
    <x v="0"/>
    <s v="lt002_instrument"/>
    <s v="subportfolio_id"/>
    <x v="0"/>
    <s v="1. Concluído"/>
    <m/>
    <m/>
    <m/>
    <m/>
    <s v=""/>
    <s v=""/>
    <s v=""/>
    <m/>
    <m/>
    <m/>
    <m/>
    <m/>
    <x v="0"/>
    <m/>
  </r>
  <r>
    <x v="0"/>
    <x v="1"/>
    <x v="0"/>
    <s v="lt002_instrument"/>
    <s v="cod_soc"/>
    <x v="0"/>
    <s v="1. Concluído"/>
    <m/>
    <m/>
    <m/>
    <m/>
    <s v=""/>
    <s v=""/>
    <s v=""/>
    <m/>
    <m/>
    <m/>
    <m/>
    <m/>
    <x v="0"/>
    <m/>
  </r>
  <r>
    <x v="0"/>
    <x v="1"/>
    <x v="0"/>
    <s v="lt002_instrument"/>
    <s v="lcl_instmrnt_id"/>
    <x v="0"/>
    <s v="1. Concluído"/>
    <m/>
    <m/>
    <m/>
    <m/>
    <s v=""/>
    <s v=""/>
    <s v=""/>
    <m/>
    <m/>
    <m/>
    <m/>
    <m/>
    <x v="0"/>
    <m/>
  </r>
  <r>
    <x v="0"/>
    <x v="1"/>
    <x v="0"/>
    <s v="lt002_instrument"/>
    <s v="idcmb"/>
    <x v="0"/>
    <s v="1. Concluído"/>
    <m/>
    <m/>
    <m/>
    <m/>
    <s v=""/>
    <s v=""/>
    <s v=""/>
    <m/>
    <m/>
    <m/>
    <m/>
    <m/>
    <x v="0"/>
    <m/>
  </r>
  <r>
    <x v="0"/>
    <x v="1"/>
    <x v="0"/>
    <s v="lt003_entity"/>
    <s v="cntry"/>
    <x v="0"/>
    <s v="1. Concluído"/>
    <m/>
    <m/>
    <m/>
    <m/>
    <s v=""/>
    <s v=""/>
    <s v=""/>
    <m/>
    <m/>
    <m/>
    <m/>
    <m/>
    <x v="0"/>
    <m/>
  </r>
  <r>
    <x v="0"/>
    <x v="1"/>
    <x v="0"/>
    <s v="lt003_entity"/>
    <s v="dt_rfrnc"/>
    <x v="0"/>
    <s v="1. Concluído"/>
    <m/>
    <m/>
    <m/>
    <m/>
    <s v=""/>
    <s v=""/>
    <s v=""/>
    <m/>
    <m/>
    <m/>
    <m/>
    <m/>
    <x v="0"/>
    <m/>
  </r>
  <r>
    <x v="0"/>
    <x v="1"/>
    <x v="0"/>
    <s v="lt003_entity"/>
    <s v="entty_id"/>
    <x v="0"/>
    <s v="1. Concluído"/>
    <m/>
    <m/>
    <m/>
    <m/>
    <s v=""/>
    <s v=""/>
    <s v=""/>
    <m/>
    <m/>
    <m/>
    <m/>
    <m/>
    <x v="0"/>
    <m/>
  </r>
  <r>
    <x v="0"/>
    <x v="1"/>
    <x v="0"/>
    <s v="lt003_entity"/>
    <s v="lei"/>
    <x v="0"/>
    <s v="1. Concluído"/>
    <m/>
    <m/>
    <m/>
    <m/>
    <s v=""/>
    <s v=""/>
    <s v=""/>
    <m/>
    <m/>
    <m/>
    <m/>
    <m/>
    <x v="0"/>
    <m/>
  </r>
  <r>
    <x v="0"/>
    <x v="1"/>
    <x v="0"/>
    <s v="lt003_entity"/>
    <s v="ecnmc_actvty"/>
    <x v="0"/>
    <s v="1. Concluído"/>
    <m/>
    <m/>
    <m/>
    <m/>
    <s v=""/>
    <s v=""/>
    <s v=""/>
    <m/>
    <m/>
    <m/>
    <m/>
    <m/>
    <x v="0"/>
    <m/>
  </r>
  <r>
    <x v="0"/>
    <x v="1"/>
    <x v="0"/>
    <s v="lt003_entity"/>
    <s v="grp_eqty"/>
    <x v="0"/>
    <s v="1. Concluído"/>
    <m/>
    <m/>
    <m/>
    <m/>
    <s v=""/>
    <s v=""/>
    <s v=""/>
    <m/>
    <m/>
    <m/>
    <m/>
    <m/>
    <x v="0"/>
    <m/>
  </r>
  <r>
    <x v="0"/>
    <x v="1"/>
    <x v="0"/>
    <s v="lt003_entity"/>
    <s v="annl_trnvr_le"/>
    <x v="0"/>
    <s v="1. Concluído"/>
    <m/>
    <m/>
    <m/>
    <m/>
    <s v=""/>
    <s v=""/>
    <s v=""/>
    <m/>
    <m/>
    <m/>
    <m/>
    <m/>
    <x v="0"/>
    <m/>
  </r>
  <r>
    <x v="0"/>
    <x v="1"/>
    <x v="0"/>
    <s v="lt003_entity"/>
    <s v="eqty"/>
    <x v="0"/>
    <s v="1. Concluído"/>
    <m/>
    <m/>
    <m/>
    <m/>
    <s v=""/>
    <s v=""/>
    <s v=""/>
    <m/>
    <m/>
    <m/>
    <m/>
    <m/>
    <x v="0"/>
    <m/>
  </r>
  <r>
    <x v="0"/>
    <x v="1"/>
    <x v="0"/>
    <s v="lt003_entity"/>
    <s v="grp_ttl_dbt"/>
    <x v="0"/>
    <s v="1. Concluído"/>
    <m/>
    <m/>
    <m/>
    <m/>
    <s v=""/>
    <s v=""/>
    <s v=""/>
    <m/>
    <m/>
    <m/>
    <m/>
    <m/>
    <x v="0"/>
    <m/>
  </r>
  <r>
    <x v="0"/>
    <x v="1"/>
    <x v="0"/>
    <s v="lt003_entity"/>
    <s v="ttl_dbt"/>
    <x v="0"/>
    <s v="1. Concluído"/>
    <m/>
    <m/>
    <m/>
    <m/>
    <s v=""/>
    <s v=""/>
    <s v=""/>
    <m/>
    <m/>
    <m/>
    <m/>
    <m/>
    <x v="0"/>
    <m/>
  </r>
  <r>
    <x v="0"/>
    <x v="1"/>
    <x v="0"/>
    <s v="lt003_entity"/>
    <s v="cod_soc"/>
    <x v="0"/>
    <s v="1. Concluído"/>
    <m/>
    <m/>
    <m/>
    <m/>
    <s v=""/>
    <s v=""/>
    <s v=""/>
    <m/>
    <m/>
    <m/>
    <m/>
    <m/>
    <x v="0"/>
    <m/>
  </r>
  <r>
    <x v="0"/>
    <x v="1"/>
    <x v="0"/>
    <s v="lt004_protection"/>
    <s v="dt_rfrnc"/>
    <x v="0"/>
    <s v="1. Concluído"/>
    <m/>
    <m/>
    <m/>
    <m/>
    <s v=""/>
    <s v=""/>
    <s v=""/>
    <m/>
    <m/>
    <m/>
    <m/>
    <m/>
    <x v="0"/>
    <m/>
  </r>
  <r>
    <x v="0"/>
    <x v="1"/>
    <x v="0"/>
    <s v="lt004_protection"/>
    <s v="prtctn_id"/>
    <x v="0"/>
    <s v="1. Concluído"/>
    <m/>
    <m/>
    <m/>
    <m/>
    <s v=""/>
    <s v=""/>
    <s v=""/>
    <d v="2024-10-23T00:00:00"/>
    <m/>
    <m/>
    <m/>
    <m/>
    <x v="0"/>
    <m/>
  </r>
  <r>
    <x v="0"/>
    <x v="1"/>
    <x v="0"/>
    <s v="lt004_protection"/>
    <s v="rl_estt_clltrl_lctn"/>
    <x v="0"/>
    <s v="1. Concluído"/>
    <m/>
    <m/>
    <m/>
    <s v="Package X"/>
    <s v=""/>
    <s v=""/>
    <s v=""/>
    <d v="2024-10-23T00:00:00"/>
    <m/>
    <m/>
    <m/>
    <m/>
    <x v="0"/>
    <m/>
  </r>
  <r>
    <x v="0"/>
    <x v="1"/>
    <x v="0"/>
    <s v="lt004_protection"/>
    <s v="rl_estt_pst_cd"/>
    <x v="0"/>
    <s v="1. Concluído"/>
    <m/>
    <m/>
    <m/>
    <m/>
    <s v=""/>
    <s v=""/>
    <s v=""/>
    <d v="2024-10-23T00:00:00"/>
    <m/>
    <m/>
    <m/>
    <m/>
    <x v="0"/>
    <m/>
  </r>
  <r>
    <x v="0"/>
    <x v="1"/>
    <x v="0"/>
    <s v="lt004_protection"/>
    <s v="typ_prtctn"/>
    <x v="0"/>
    <s v="1. Concluído"/>
    <m/>
    <m/>
    <m/>
    <m/>
    <s v=""/>
    <s v=""/>
    <s v=""/>
    <d v="2024-10-30T00:00:00"/>
    <m/>
    <m/>
    <m/>
    <m/>
    <x v="0"/>
    <m/>
  </r>
  <r>
    <x v="0"/>
    <x v="1"/>
    <x v="0"/>
    <s v="lt004_protection"/>
    <s v="orgnl_prtctn_vl"/>
    <x v="0"/>
    <s v="1. Concluído"/>
    <m/>
    <m/>
    <m/>
    <m/>
    <s v=""/>
    <s v=""/>
    <s v=""/>
    <d v="2024-10-30T00:00:00"/>
    <m/>
    <m/>
    <m/>
    <m/>
    <x v="0"/>
    <m/>
  </r>
  <r>
    <x v="0"/>
    <x v="1"/>
    <x v="0"/>
    <s v="lt004_protection"/>
    <s v="prtctn_vl"/>
    <x v="0"/>
    <s v="1. Concluído"/>
    <m/>
    <m/>
    <m/>
    <m/>
    <s v=""/>
    <s v=""/>
    <s v=""/>
    <d v="2024-10-23T00:00:00"/>
    <m/>
    <m/>
    <m/>
    <m/>
    <x v="0"/>
    <m/>
  </r>
  <r>
    <x v="0"/>
    <x v="1"/>
    <x v="0"/>
    <s v="lt004_protection"/>
    <s v="cod_soc"/>
    <x v="0"/>
    <s v="1. Concluído"/>
    <m/>
    <m/>
    <m/>
    <m/>
    <s v=""/>
    <s v=""/>
    <s v=""/>
    <m/>
    <m/>
    <m/>
    <m/>
    <m/>
    <x v="0"/>
    <m/>
  </r>
  <r>
    <x v="0"/>
    <x v="1"/>
    <x v="0"/>
    <s v="lt005_instr_ent"/>
    <s v="dt_rfrnc"/>
    <x v="0"/>
    <s v="1. Concluído"/>
    <m/>
    <m/>
    <m/>
    <m/>
    <s v=""/>
    <s v=""/>
    <s v=""/>
    <m/>
    <m/>
    <m/>
    <m/>
    <m/>
    <x v="0"/>
    <m/>
  </r>
  <r>
    <x v="0"/>
    <x v="1"/>
    <x v="0"/>
    <s v="lt005_instr_ent"/>
    <s v="entty_id"/>
    <x v="0"/>
    <s v="1. Concluído"/>
    <m/>
    <m/>
    <m/>
    <m/>
    <s v=""/>
    <s v=""/>
    <s v=""/>
    <m/>
    <m/>
    <m/>
    <m/>
    <m/>
    <x v="0"/>
    <m/>
  </r>
  <r>
    <x v="0"/>
    <x v="1"/>
    <x v="0"/>
    <s v="lt005_instr_ent"/>
    <s v="instrmnt_id"/>
    <x v="0"/>
    <s v="1. Concluído"/>
    <m/>
    <m/>
    <m/>
    <m/>
    <s v=""/>
    <s v=""/>
    <s v=""/>
    <m/>
    <m/>
    <m/>
    <m/>
    <m/>
    <x v="0"/>
    <m/>
  </r>
  <r>
    <x v="0"/>
    <x v="1"/>
    <x v="0"/>
    <s v="lt005_instr_ent"/>
    <s v="cod_soc"/>
    <x v="0"/>
    <s v="1. Concluído"/>
    <m/>
    <m/>
    <m/>
    <m/>
    <s v=""/>
    <s v=""/>
    <s v=""/>
    <m/>
    <m/>
    <m/>
    <m/>
    <m/>
    <x v="0"/>
    <m/>
  </r>
  <r>
    <x v="0"/>
    <x v="1"/>
    <x v="0"/>
    <s v="lt005_instr_ent"/>
    <s v="mn_entty_id"/>
    <x v="0"/>
    <s v="1. Concluído"/>
    <m/>
    <m/>
    <m/>
    <m/>
    <s v=""/>
    <s v=""/>
    <s v=""/>
    <m/>
    <m/>
    <m/>
    <m/>
    <m/>
    <x v="0"/>
    <m/>
  </r>
  <r>
    <x v="0"/>
    <x v="1"/>
    <x v="0"/>
    <s v="lt006_instr_prot"/>
    <s v="dt_rfrnc"/>
    <x v="0"/>
    <s v="1. Concluído"/>
    <m/>
    <m/>
    <m/>
    <m/>
    <s v=""/>
    <s v=""/>
    <s v=""/>
    <m/>
    <m/>
    <m/>
    <m/>
    <m/>
    <x v="0"/>
    <m/>
  </r>
  <r>
    <x v="0"/>
    <x v="1"/>
    <x v="0"/>
    <s v="lt006_instr_prot"/>
    <s v="instrmnt_id"/>
    <x v="0"/>
    <s v="1. Concluído"/>
    <m/>
    <m/>
    <m/>
    <m/>
    <s v=""/>
    <s v=""/>
    <s v=""/>
    <m/>
    <m/>
    <m/>
    <m/>
    <m/>
    <x v="0"/>
    <m/>
  </r>
  <r>
    <x v="0"/>
    <x v="1"/>
    <x v="0"/>
    <s v="lt006_instr_prot"/>
    <s v="prtctn_id"/>
    <x v="0"/>
    <s v="1. Concluído"/>
    <m/>
    <m/>
    <m/>
    <m/>
    <s v=""/>
    <s v=""/>
    <s v=""/>
    <m/>
    <m/>
    <m/>
    <m/>
    <m/>
    <x v="0"/>
    <m/>
  </r>
  <r>
    <x v="0"/>
    <x v="1"/>
    <x v="0"/>
    <s v="lt006_instr_prot"/>
    <s v="cod_soc"/>
    <x v="0"/>
    <s v="1. Concluído"/>
    <m/>
    <m/>
    <m/>
    <m/>
    <s v=""/>
    <s v=""/>
    <s v=""/>
    <m/>
    <m/>
    <m/>
    <m/>
    <m/>
    <x v="0"/>
    <s v="JB"/>
  </r>
  <r>
    <x v="0"/>
    <x v="1"/>
    <x v="0"/>
    <s v="lt004_protection"/>
    <s v="flg_fin"/>
    <x v="4"/>
    <s v="0. Cancelado"/>
    <m/>
    <m/>
    <m/>
    <m/>
    <s v=""/>
    <s v=""/>
    <s v=""/>
    <m/>
    <m/>
    <m/>
    <m/>
    <m/>
    <x v="0"/>
    <s v="JB"/>
  </r>
  <r>
    <x v="0"/>
    <x v="1"/>
    <x v="0"/>
    <s v="lt004_protection"/>
    <s v="flg_exec"/>
    <x v="4"/>
    <s v="0. Cancelado"/>
    <m/>
    <m/>
    <m/>
    <m/>
    <s v=""/>
    <s v=""/>
    <s v=""/>
    <m/>
    <m/>
    <m/>
    <m/>
    <m/>
    <x v="0"/>
    <s v="JB"/>
  </r>
  <r>
    <x v="0"/>
    <x v="1"/>
    <x v="0"/>
    <s v="lt004_protection"/>
    <s v="flg_col"/>
    <x v="4"/>
    <s v="0. Cancelado"/>
    <m/>
    <m/>
    <m/>
    <m/>
    <s v=""/>
    <s v=""/>
    <s v=""/>
    <m/>
    <m/>
    <m/>
    <m/>
    <m/>
    <x v="0"/>
    <m/>
  </r>
  <r>
    <x v="0"/>
    <x v="1"/>
    <x v="0"/>
    <s v="lt004_protection"/>
    <s v="flg_pro"/>
    <x v="4"/>
    <s v="0. Cancelado"/>
    <m/>
    <m/>
    <m/>
    <m/>
    <s v=""/>
    <s v=""/>
    <s v=""/>
    <m/>
    <m/>
    <m/>
    <m/>
    <m/>
    <x v="0"/>
    <m/>
  </r>
  <r>
    <x v="0"/>
    <x v="4"/>
    <x v="0"/>
    <s v="modesg_inp_emss_nace"/>
    <s v="nome_regiao"/>
    <x v="4"/>
    <s v="0. Cancelado"/>
    <m/>
    <m/>
    <m/>
    <s v="Package X"/>
    <s v=""/>
    <s v=""/>
    <s v=""/>
    <m/>
    <m/>
    <m/>
    <m/>
    <m/>
    <x v="0"/>
    <m/>
  </r>
  <r>
    <x v="0"/>
    <x v="4"/>
    <x v="0"/>
    <s v="modesg_inp_emss_nace"/>
    <s v="area_atividade"/>
    <x v="4"/>
    <s v="0. Cancelado"/>
    <m/>
    <m/>
    <m/>
    <s v="Package X"/>
    <s v=""/>
    <s v=""/>
    <s v=""/>
    <m/>
    <m/>
    <m/>
    <m/>
    <m/>
    <x v="0"/>
    <m/>
  </r>
  <r>
    <x v="0"/>
    <x v="4"/>
    <x v="0"/>
    <s v="modesg_inp_emss_nace"/>
    <s v="tipo_atividade"/>
    <x v="4"/>
    <s v="0. Cancelado"/>
    <m/>
    <m/>
    <m/>
    <s v="Package X"/>
    <s v=""/>
    <s v=""/>
    <s v=""/>
    <m/>
    <m/>
    <m/>
    <m/>
    <m/>
    <x v="0"/>
    <m/>
  </r>
  <r>
    <x v="0"/>
    <x v="4"/>
    <x v="0"/>
    <s v="modesg_inp_emss_nace"/>
    <s v="sub_tipo_atividade_1"/>
    <x v="4"/>
    <s v="0. Cancelado"/>
    <m/>
    <m/>
    <m/>
    <s v="Package X"/>
    <s v=""/>
    <s v=""/>
    <s v=""/>
    <m/>
    <m/>
    <m/>
    <m/>
    <m/>
    <x v="0"/>
    <m/>
  </r>
  <r>
    <x v="0"/>
    <x v="4"/>
    <x v="0"/>
    <s v="modesg_inp_emss_nace"/>
    <s v="sub_tipo_atividade_2"/>
    <x v="4"/>
    <s v="0. Cancelado"/>
    <m/>
    <m/>
    <m/>
    <s v="Package X"/>
    <s v=""/>
    <s v=""/>
    <s v=""/>
    <m/>
    <m/>
    <m/>
    <m/>
    <m/>
    <x v="0"/>
    <m/>
  </r>
  <r>
    <x v="0"/>
    <x v="4"/>
    <x v="0"/>
    <s v="modesg_inp_emss_nace"/>
    <s v="unidades_unidade_funcional"/>
    <x v="4"/>
    <s v="0. Cancelado"/>
    <m/>
    <m/>
    <m/>
    <s v="Package X"/>
    <s v=""/>
    <s v=""/>
    <s v=""/>
    <m/>
    <m/>
    <m/>
    <m/>
    <m/>
    <x v="0"/>
    <m/>
  </r>
  <r>
    <x v="0"/>
    <x v="4"/>
    <x v="0"/>
    <s v="modesg_inp_emss_nace"/>
    <s v="fator_emissao"/>
    <x v="4"/>
    <s v="0. Cancelado"/>
    <m/>
    <m/>
    <m/>
    <s v="Package X"/>
    <s v=""/>
    <s v=""/>
    <s v=""/>
    <m/>
    <m/>
    <m/>
    <m/>
    <m/>
    <x v="0"/>
    <m/>
  </r>
  <r>
    <x v="0"/>
    <x v="4"/>
    <x v="0"/>
    <s v="modesg_inp_km_medios_emss_vcls"/>
    <s v="media_scp1_emss"/>
    <x v="4"/>
    <s v="0. Cancelado"/>
    <m/>
    <m/>
    <m/>
    <m/>
    <s v=""/>
    <s v=""/>
    <s v=""/>
    <m/>
    <m/>
    <m/>
    <m/>
    <m/>
    <x v="0"/>
    <m/>
  </r>
  <r>
    <x v="0"/>
    <x v="4"/>
    <x v="0"/>
    <s v="modesg_inp_km_medios_emss_vcls"/>
    <s v="media_scp2_emss"/>
    <x v="4"/>
    <s v="0. Cancelado"/>
    <m/>
    <m/>
    <m/>
    <m/>
    <s v=""/>
    <s v=""/>
    <s v=""/>
    <m/>
    <m/>
    <m/>
    <m/>
    <m/>
    <x v="0"/>
    <m/>
  </r>
  <r>
    <x v="0"/>
    <x v="4"/>
    <x v="0"/>
    <s v="modesg_inp_km_medios_emss_vcls"/>
    <s v="media_scp3_emss"/>
    <x v="4"/>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7" cacheId="3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14" cacheId="3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4"/>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3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09"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5">
    <i>
      <x/>
    </i>
    <i>
      <x v="1"/>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3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3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2"/>
          </reference>
        </references>
      </pivotArea>
    </chartFormat>
    <chartFormat chart="7" format="61"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6" cacheId="3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4"/>
        <item x="0"/>
        <item x="3"/>
        <item m="1" x="11"/>
        <item m="1" x="7"/>
        <item m="1" x="12"/>
        <item x="2"/>
        <item m="1" x="9"/>
        <item x="1"/>
        <item m="1" x="10"/>
        <item m="1" x="6"/>
        <item m="1" x="8"/>
        <item m="1" x="5"/>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3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1"/>
        <item x="0"/>
        <item x="2"/>
        <item x="3"/>
      </items>
    </pivotField>
    <pivotField dataField="1" subtotalTop="0" showAll="0" defaultSubtotal="0"/>
  </pivotFields>
  <rowFields count="1">
    <field x="3"/>
  </rowFields>
  <rowItems count="5">
    <i>
      <x/>
    </i>
    <i>
      <x v="1"/>
    </i>
    <i>
      <x v="2"/>
    </i>
    <i>
      <x v="3"/>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5" cacheId="3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4"/>
        <item x="0"/>
        <item x="3"/>
        <item m="1" x="12"/>
        <item x="2"/>
        <item m="1" x="9"/>
        <item m="1" x="10"/>
        <item m="1" x="7"/>
        <item m="1" x="8"/>
        <item m="1" x="6"/>
        <item x="1"/>
        <item m="1" x="11"/>
        <item m="1" x="5"/>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4"/>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3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5">
    <i>
      <x/>
    </i>
    <i>
      <x v="1"/>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1.xml><?xml version="1.0" encoding="utf-8"?>
<pivotTableDefinition xmlns="http://schemas.openxmlformats.org/spreadsheetml/2006/main" name="PivotTable1" cacheId="35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62" tableBorderDxfId="261">
  <autoFilter ref="B6:V740"/>
  <tableColumns count="21">
    <tableColumn id="1" name="Âmbito" dataDxfId="260"/>
    <tableColumn id="2" name="Sub-âmbito" dataDxfId="259"/>
    <tableColumn id="3" name="Tipo de teste" dataDxfId="258"/>
    <tableColumn id="4" name="Tabela" dataDxfId="257"/>
    <tableColumn id="5" name="Campo" dataDxfId="256"/>
    <tableColumn id="6" name="Status Atual" dataDxfId="255">
      <calculatedColumnFormula>VLOOKUP(A7,Plano_V3!$A$26:$G$768,7,0)</calculatedColumnFormula>
    </tableColumn>
    <tableColumn id="7" name="Status Anterior" dataDxfId="254"/>
    <tableColumn id="14" name="Fase" dataDxfId="253"/>
    <tableColumn id="8" name="Observações - Especificações" dataDxfId="252"/>
    <tableColumn id="20" name="Observações - Testes" dataDxfId="251"/>
    <tableColumn id="19" name="Observações - Testes sem visibilidade" dataDxfId="250"/>
    <tableColumn id="9" name="Data de Pedido correção/esclarecimento" dataDxfId="249">
      <calculatedColumnFormula>IF(VLOOKUP(A7,'Aux - pivots1'!$A:$E,3,0)=0, "",VLOOKUP(A7,'Aux - pivots1'!$A:$E,3,0))</calculatedColumnFormula>
    </tableColumn>
    <tableColumn id="10" name="Data de correção prevista" dataDxfId="248">
      <calculatedColumnFormula>IF(VLOOKUP(A7,'Aux - pivots1'!$A:$E,4,0)=0, "",VLOOKUP(A7,'Aux - pivots1'!$A:$E,4,0))</calculatedColumnFormula>
    </tableColumn>
    <tableColumn id="11" name="Data de correção efetiva" dataDxfId="247">
      <calculatedColumnFormula>IF(VLOOKUP(A7,'Aux - pivots1'!$A:$E,5,0)=0, "",VLOOKUP(A7,'Aux - pivots1'!$A:$E,5,0))</calculatedColumnFormula>
    </tableColumn>
    <tableColumn id="12" name="Data Prevista de Re-especificação" dataDxfId="246"/>
    <tableColumn id="13" name="Data Prevista de Teste" dataDxfId="245"/>
    <tableColumn id="15" name="Projeto (Aux JB)" dataDxfId="244"/>
    <tableColumn id="18" name="LT Âmbito" dataDxfId="243"/>
    <tableColumn id="21" name="LT Âmbito- Aux" dataDxfId="242"/>
    <tableColumn id="16" name="Plano" dataDxfId="241"/>
    <tableColumn id="17" name="Owner" dataDxfId="240"/>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95" dataDxfId="93" totalsRowDxfId="91" headerRowBorderDxfId="94" tableBorderDxfId="92" totalsRowBorderDxfId="90">
  <autoFilter ref="B8:X1532"/>
  <tableColumns count="23">
    <tableColumn id="1" name="Âmbito" dataDxfId="89" totalsRowDxfId="88"/>
    <tableColumn id="12" name="Sub-âmbito" dataDxfId="87" totalsRowDxfId="86"/>
    <tableColumn id="2" name="Origem" dataDxfId="85" totalsRowDxfId="84"/>
    <tableColumn id="18" name="Campo Origem" dataDxfId="83" totalsRowDxfId="82"/>
    <tableColumn id="5" name="Tabela" dataDxfId="81" totalsRowDxfId="80"/>
    <tableColumn id="3" name="Campo" dataDxfId="79" totalsRowDxfId="78"/>
    <tableColumn id="20" name="concat" dataDxfId="77" totalsRowDxfId="76">
      <calculatedColumnFormula>Table1[[#This Row],[Tabela]]&amp;Table1[[#This Row],[Campo]]</calculatedColumnFormula>
    </tableColumn>
    <tableColumn id="4" name="Status" dataDxfId="75" totalsRowDxfId="74"/>
    <tableColumn id="19" name="Status2" dataDxfId="73">
      <calculatedColumnFormula>VLOOKUP(Table1[[#This Row],[Status]],Auxiliar!$B$16:$C$24,2,0)</calculatedColumnFormula>
    </tableColumn>
    <tableColumn id="6" name="Tipologia_Testes" dataDxfId="72" totalsRowDxfId="71"/>
    <tableColumn id="10" name="Necessidade de re-especificação? (campo)" dataDxfId="70" totalsRowDxfId="69"/>
    <tableColumn id="9" name="Complexidade" dataDxfId="68" totalsRowDxfId="67"/>
    <tableColumn id="17" name="Data de Alteração Status" dataDxfId="66" totalsRowDxfId="65"/>
    <tableColumn id="8" name="Estimação (horas)" totalsRowFunction="custom" dataDxfId="64" totalsRowDxfId="63">
      <calculatedColumnFormula>INDEX(Auxiliar!$D$5:$F$11,MATCH(Table1[[#This Row],[Tipologia_Testes]],Auxiliar!$B$5:$B$11,0),MATCH(Table1[[#This Row],[Complexidade]],Auxiliar!$D$4:$F$4,0))</calculatedColumnFormula>
      <totalsRowFormula>SUMIF(Table1[Estimação (horas)],"&gt;0")</totalsRowFormula>
    </tableColumn>
    <tableColumn id="7" name="Notas" dataDxfId="62" totalsRowDxfId="61"/>
    <tableColumn id="11" name="Owner" dataDxfId="60" totalsRowDxfId="59"/>
    <tableColumn id="21" name="Data alteração especificação" dataDxfId="58" totalsRowDxfId="57"/>
    <tableColumn id="13" name="Data de inicio testes" dataDxfId="56" totalsRowDxfId="55"/>
    <tableColumn id="14" name="Data de incidência / pedido esclarecimento" dataDxfId="54" totalsRowDxfId="53"/>
    <tableColumn id="15" name="Data de correção/resposta prevista" dataDxfId="52" totalsRowDxfId="51"/>
    <tableColumn id="22" name="Data de correção/resposta efetiva" dataDxfId="50" totalsRowDxfId="49"/>
    <tableColumn id="23" name="Horas efetivas" dataDxfId="48" totalsRowDxfId="47">
      <calculatedColumnFormula>VLOOKUP(Table1[[#This Row],[Status]],Auxiliar!$B$16:$D$24,3,0)*Table1[[#This Row],[Estimação (horas)]]</calculatedColumnFormula>
    </tableColumn>
    <tableColumn id="16" name="Query" dataDxfId="46" totalsRowDxfId="45">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2.1 Em Teste</v>
      </c>
      <c r="H400" s="64">
        <f>VLOOKUP(A400,'Aux - pivots1'!$A:$B,2,0)</f>
        <v>2</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2.1 Em Teste</v>
      </c>
      <c r="H401" s="64">
        <f>VLOOKUP(A401,'Aux - pivots1'!$A:$B,2,0)</f>
        <v>2</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2.1 Em Teste</v>
      </c>
      <c r="H405" s="64">
        <f>VLOOKUP(A405,'Aux - pivots1'!$A:$B,2,0)</f>
        <v>2</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2.1 Em Teste</v>
      </c>
      <c r="H406" s="64">
        <f>VLOOKUP(A406,'Aux - pivots1'!$A:$B,2,0)</f>
        <v>2</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4. Validação EF</v>
      </c>
      <c r="H480" s="64">
        <f>VLOOKUP(A480,'Aux - pivots1'!$A:$B,2,0)</f>
        <v>5</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4. Validação EF</v>
      </c>
      <c r="H481" s="64">
        <f>VLOOKUP(A481,'Aux - pivots1'!$A:$B,2,0)</f>
        <v>5</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85" priority="11" operator="notEqual">
      <formula>0</formula>
    </cfRule>
  </conditionalFormatting>
  <conditionalFormatting sqref="L21:L23">
    <cfRule type="cellIs" dxfId="284" priority="3" operator="notEqual">
      <formula>0</formula>
    </cfRule>
  </conditionalFormatting>
  <conditionalFormatting sqref="L577:L579">
    <cfRule type="cellIs" dxfId="283" priority="2" operator="notEqual">
      <formula>0</formula>
    </cfRule>
  </conditionalFormatting>
  <conditionalFormatting sqref="L582:L636">
    <cfRule type="cellIs" dxfId="282" priority="1" operator="notEqual">
      <formula>0</formula>
    </cfRule>
  </conditionalFormatting>
  <conditionalFormatting sqref="M5:M6 N6:FK6">
    <cfRule type="cellIs" dxfId="281" priority="12" operator="notEqual">
      <formula>0</formula>
    </cfRule>
  </conditionalFormatting>
  <conditionalFormatting sqref="M15:FK18 M21:FK23 M577:FK579 M636:FK636">
    <cfRule type="cellIs" dxfId="280" priority="10" operator="greaterThan">
      <formula>0</formula>
    </cfRule>
  </conditionalFormatting>
  <conditionalFormatting sqref="M26:FK27">
    <cfRule type="cellIs" dxfId="279" priority="9" operator="greaterThan">
      <formula>0</formula>
    </cfRule>
  </conditionalFormatting>
  <conditionalFormatting sqref="M42:FK42">
    <cfRule type="cellIs" dxfId="278" priority="8" operator="greaterThan">
      <formula>0</formula>
    </cfRule>
  </conditionalFormatting>
  <conditionalFormatting sqref="M198:FK198">
    <cfRule type="cellIs" dxfId="277" priority="7" operator="greaterThan">
      <formula>0</formula>
    </cfRule>
  </conditionalFormatting>
  <conditionalFormatting sqref="M362:FK362">
    <cfRule type="cellIs" dxfId="276" priority="6" operator="greaterThan">
      <formula>0</formula>
    </cfRule>
  </conditionalFormatting>
  <conditionalFormatting sqref="M447:FK447">
    <cfRule type="cellIs" dxfId="275" priority="5" operator="greaterThan">
      <formula>0</formula>
    </cfRule>
  </conditionalFormatting>
  <conditionalFormatting sqref="M582:FK583">
    <cfRule type="cellIs" dxfId="27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zoomScale="60" zoomScaleNormal="60" zoomScalePageLayoutView="90" workbookViewId="0">
      <selection activeCell="F63" sqref="F63"/>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2454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24" t="s">
        <v>2453</v>
      </c>
      <c r="Y10" s="525"/>
      <c r="Z10" s="525"/>
      <c r="AA10" s="525"/>
      <c r="AB10" s="525"/>
      <c r="AC10" s="525"/>
      <c r="AD10" s="525"/>
      <c r="AE10" s="525"/>
      <c r="AF10" s="526"/>
      <c r="AG10" s="334"/>
      <c r="AH10" s="116"/>
    </row>
    <row r="11" spans="1:34" ht="18.75" customHeight="1">
      <c r="A11" s="116"/>
      <c r="B11" s="326"/>
      <c r="C11" s="517" t="s">
        <v>8</v>
      </c>
      <c r="D11" s="518"/>
      <c r="E11" s="521" t="s">
        <v>2358</v>
      </c>
      <c r="F11" s="522"/>
      <c r="G11" s="523"/>
      <c r="H11" s="514" t="s">
        <v>2359</v>
      </c>
      <c r="I11" s="515"/>
      <c r="J11" s="515"/>
      <c r="K11" s="516"/>
      <c r="L11" s="511" t="s">
        <v>2360</v>
      </c>
      <c r="M11" s="512"/>
      <c r="N11" s="513"/>
      <c r="O11" s="388"/>
      <c r="P11" s="421"/>
      <c r="Q11" s="423" t="s">
        <v>2369</v>
      </c>
      <c r="R11" s="556" t="s">
        <v>2367</v>
      </c>
      <c r="S11" s="556"/>
      <c r="T11" s="556" t="s">
        <v>2368</v>
      </c>
      <c r="U11" s="556"/>
      <c r="V11" s="422" t="s">
        <v>13</v>
      </c>
      <c r="W11" s="333"/>
      <c r="X11" s="527"/>
      <c r="Y11" s="528"/>
      <c r="Z11" s="528"/>
      <c r="AA11" s="528"/>
      <c r="AB11" s="528"/>
      <c r="AC11" s="528"/>
      <c r="AD11" s="528"/>
      <c r="AE11" s="528"/>
      <c r="AF11" s="529"/>
      <c r="AG11" s="334"/>
      <c r="AH11" s="116"/>
    </row>
    <row r="12" spans="1:34" ht="18.75" customHeight="1">
      <c r="A12" s="116"/>
      <c r="B12" s="326"/>
      <c r="C12" s="519"/>
      <c r="D12" s="520"/>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500">
        <v>20</v>
      </c>
      <c r="S12" s="500"/>
      <c r="T12" s="504">
        <f>+COUNTIFS('2. Status Detalhe Campos FY24'!$C:$C,"*Pilar*",'2. Status Detalhe Campos FY24'!$J:$J,"*"&amp;O12&amp;"*",'2. Status Detalhe Campos FY24'!U:U,"*Novo Plano*")</f>
        <v>20</v>
      </c>
      <c r="U12" s="504"/>
      <c r="V12" s="161" t="s">
        <v>621</v>
      </c>
      <c r="W12" s="333"/>
      <c r="X12" s="527"/>
      <c r="Y12" s="528"/>
      <c r="Z12" s="528"/>
      <c r="AA12" s="528"/>
      <c r="AB12" s="528"/>
      <c r="AC12" s="528"/>
      <c r="AD12" s="528"/>
      <c r="AE12" s="528"/>
      <c r="AF12" s="529"/>
      <c r="AG12" s="334"/>
      <c r="AH12" s="116"/>
    </row>
    <row r="13" spans="1:34" ht="18.75" customHeight="1">
      <c r="A13" s="116"/>
      <c r="B13" s="326"/>
      <c r="C13" s="507" t="s">
        <v>2331</v>
      </c>
      <c r="D13" s="508"/>
      <c r="E13" s="408">
        <v>0</v>
      </c>
      <c r="F13" s="495">
        <v>0</v>
      </c>
      <c r="G13" s="432">
        <v>0</v>
      </c>
      <c r="H13" s="405">
        <v>0</v>
      </c>
      <c r="I13" s="409">
        <v>2</v>
      </c>
      <c r="J13" s="431">
        <v>0</v>
      </c>
      <c r="K13" s="432">
        <f>J13-(I13+H13)</f>
        <v>-2</v>
      </c>
      <c r="L13" s="405">
        <f t="shared" ref="L13:L21" si="0">+IF(K13&lt;0,-K13,0)</f>
        <v>2</v>
      </c>
      <c r="M13" s="409">
        <f>+COUNTIFS('2. Status Detalhe Campos FY24'!$C:$C,"*Bens Imóveis*",'2. Status Detalhe Campos FY24'!$J:$J,"*"&amp;$L$10&amp;"*")</f>
        <v>0</v>
      </c>
      <c r="N13" s="432">
        <f>+M13+L13</f>
        <v>2</v>
      </c>
      <c r="O13" s="388">
        <v>2</v>
      </c>
      <c r="P13" s="333" t="s">
        <v>2335</v>
      </c>
      <c r="Q13" s="404" t="s">
        <v>2351</v>
      </c>
      <c r="R13" s="500">
        <v>15</v>
      </c>
      <c r="S13" s="500"/>
      <c r="T13" s="505">
        <f>+COUNTIFS('2. Status Detalhe Campos FY24'!$C:$C,"*Pilar*",'2. Status Detalhe Campos FY24'!$J:$J,"*"&amp;O13&amp;"*",'2. Status Detalhe Campos FY24'!U:U,"*Novo Plano*")</f>
        <v>14</v>
      </c>
      <c r="U13" s="505"/>
      <c r="V13" s="161" t="s">
        <v>621</v>
      </c>
      <c r="W13" s="333"/>
      <c r="X13" s="527"/>
      <c r="Y13" s="528"/>
      <c r="Z13" s="528"/>
      <c r="AA13" s="528"/>
      <c r="AB13" s="528"/>
      <c r="AC13" s="528"/>
      <c r="AD13" s="528"/>
      <c r="AE13" s="528"/>
      <c r="AF13" s="529"/>
      <c r="AG13" s="334"/>
      <c r="AH13" s="116"/>
    </row>
    <row r="14" spans="1:34" ht="18.75" customHeight="1">
      <c r="A14" s="116"/>
      <c r="B14" s="326"/>
      <c r="C14" s="389" t="s">
        <v>2366</v>
      </c>
      <c r="D14" s="394"/>
      <c r="E14" s="387">
        <v>0</v>
      </c>
      <c r="F14" s="496">
        <v>0</v>
      </c>
      <c r="G14" s="436">
        <v>0</v>
      </c>
      <c r="H14" s="413">
        <v>0</v>
      </c>
      <c r="I14" s="414">
        <v>2</v>
      </c>
      <c r="J14" s="435">
        <v>0</v>
      </c>
      <c r="K14" s="436">
        <f t="shared" ref="K14:K22" si="1">J14-(I14+H14)</f>
        <v>-2</v>
      </c>
      <c r="L14" s="413">
        <f t="shared" si="0"/>
        <v>2</v>
      </c>
      <c r="M14" s="414">
        <f>+COUNTIFS('2. Status Detalhe Campos FY24'!$C:$C,"*Bens Imóveis*",'2. Status Detalhe Campos FY24'!$J:$J,"*"&amp;$L$10&amp;"*",'2. Status Detalhe Campos FY24'!U:U,"*anterior*")</f>
        <v>0</v>
      </c>
      <c r="N14" s="436">
        <f t="shared" ref="N14:N21" si="2">+M14+L14</f>
        <v>2</v>
      </c>
      <c r="O14" s="388">
        <v>3</v>
      </c>
      <c r="P14" s="333" t="s">
        <v>2336</v>
      </c>
      <c r="Q14" s="404" t="s">
        <v>2352</v>
      </c>
      <c r="R14" s="500">
        <v>14</v>
      </c>
      <c r="S14" s="500"/>
      <c r="T14" s="505">
        <f>+COUNTIFS('2. Status Detalhe Campos FY24'!$C:$C,"*Pilar*",'2. Status Detalhe Campos FY24'!$J:$J,"*"&amp;O14&amp;"*",'2. Status Detalhe Campos FY24'!U:U,"*Novo Plano*")</f>
        <v>16</v>
      </c>
      <c r="U14" s="505"/>
      <c r="V14" s="161" t="s">
        <v>621</v>
      </c>
      <c r="W14" s="333"/>
      <c r="X14" s="527"/>
      <c r="Y14" s="528"/>
      <c r="Z14" s="528"/>
      <c r="AA14" s="528"/>
      <c r="AB14" s="528"/>
      <c r="AC14" s="528"/>
      <c r="AD14" s="528"/>
      <c r="AE14" s="528"/>
      <c r="AF14" s="529"/>
      <c r="AG14" s="334"/>
      <c r="AH14" s="116"/>
    </row>
    <row r="15" spans="1:34" ht="18.75" customHeight="1">
      <c r="A15" s="116"/>
      <c r="B15" s="326"/>
      <c r="C15" s="393" t="s">
        <v>2356</v>
      </c>
      <c r="D15" s="395"/>
      <c r="E15" s="416">
        <v>0</v>
      </c>
      <c r="F15" s="497">
        <v>0</v>
      </c>
      <c r="G15" s="438">
        <v>0</v>
      </c>
      <c r="H15" s="415">
        <v>0</v>
      </c>
      <c r="I15" s="417">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500">
        <v>13</v>
      </c>
      <c r="S15" s="500"/>
      <c r="T15" s="505">
        <f>+COUNTIFS('2. Status Detalhe Campos FY24'!$C:$C,"*Pilar*",'2. Status Detalhe Campos FY24'!$J:$J,"*"&amp;O15&amp;"*",'2. Status Detalhe Campos FY24'!U:U,"*Novo Plano*")</f>
        <v>14</v>
      </c>
      <c r="U15" s="505"/>
      <c r="V15" s="161" t="s">
        <v>2448</v>
      </c>
      <c r="W15" s="333"/>
      <c r="X15" s="527"/>
      <c r="Y15" s="528"/>
      <c r="Z15" s="528"/>
      <c r="AA15" s="528"/>
      <c r="AB15" s="528"/>
      <c r="AC15" s="528"/>
      <c r="AD15" s="528"/>
      <c r="AE15" s="528"/>
      <c r="AF15" s="529"/>
      <c r="AG15" s="334"/>
      <c r="AH15" s="116"/>
    </row>
    <row r="16" spans="1:34" ht="18.75" customHeight="1">
      <c r="A16" s="116"/>
      <c r="B16" s="326"/>
      <c r="C16" s="507" t="s">
        <v>29</v>
      </c>
      <c r="D16" s="508"/>
      <c r="E16" s="411">
        <v>14</v>
      </c>
      <c r="F16" s="498">
        <v>14</v>
      </c>
      <c r="G16" s="434">
        <v>0</v>
      </c>
      <c r="H16" s="410">
        <v>0</v>
      </c>
      <c r="I16" s="412">
        <v>1</v>
      </c>
      <c r="J16" s="433">
        <v>1</v>
      </c>
      <c r="K16" s="434">
        <f t="shared" si="1"/>
        <v>0</v>
      </c>
      <c r="L16" s="410">
        <f t="shared" si="0"/>
        <v>0</v>
      </c>
      <c r="M16" s="412">
        <f>+COUNTIFS('2. Status Detalhe Campos FY24'!$C:$C,"*Verde*",'2. Status Detalhe Campos FY24'!$J:$J,"*"&amp;$L$10&amp;"*")</f>
        <v>0</v>
      </c>
      <c r="N16" s="434">
        <f t="shared" si="2"/>
        <v>0</v>
      </c>
      <c r="O16" s="388">
        <v>5</v>
      </c>
      <c r="P16" s="421" t="s">
        <v>2338</v>
      </c>
      <c r="Q16" s="425" t="s">
        <v>2354</v>
      </c>
      <c r="R16" s="501">
        <v>6</v>
      </c>
      <c r="S16" s="501"/>
      <c r="T16" s="506">
        <f>+COUNTIFS('2. Status Detalhe Campos FY24'!$C:$C,"*Pilar*",'2. Status Detalhe Campos FY24'!$J:$J,"*"&amp;O16&amp;"*",'2. Status Detalhe Campos FY24'!U:U,"*Novo Plano*")</f>
        <v>7</v>
      </c>
      <c r="U16" s="506"/>
      <c r="V16" s="475" t="s">
        <v>2424</v>
      </c>
      <c r="W16" s="333"/>
      <c r="X16" s="527"/>
      <c r="Y16" s="528"/>
      <c r="Z16" s="528"/>
      <c r="AA16" s="528"/>
      <c r="AB16" s="528"/>
      <c r="AC16" s="528"/>
      <c r="AD16" s="528"/>
      <c r="AE16" s="528"/>
      <c r="AF16" s="529"/>
      <c r="AG16" s="334"/>
      <c r="AH16" s="116"/>
    </row>
    <row r="17" spans="1:34" ht="18.75" customHeight="1">
      <c r="A17" s="116"/>
      <c r="B17" s="326"/>
      <c r="C17" s="389" t="s">
        <v>2366</v>
      </c>
      <c r="D17" s="394"/>
      <c r="E17" s="387">
        <v>14</v>
      </c>
      <c r="F17" s="496">
        <v>14</v>
      </c>
      <c r="G17" s="436">
        <v>0</v>
      </c>
      <c r="H17" s="413">
        <v>0</v>
      </c>
      <c r="I17" s="414">
        <v>1</v>
      </c>
      <c r="J17" s="435">
        <v>1</v>
      </c>
      <c r="K17" s="436">
        <f t="shared" si="1"/>
        <v>0</v>
      </c>
      <c r="L17" s="413">
        <f t="shared" si="0"/>
        <v>0</v>
      </c>
      <c r="M17" s="414">
        <f>+COUNTIFS('2. Status Detalhe Campos FY24'!$C:$C,"*Verde*",'2. Status Detalhe Campos FY24'!$J:$J,"*"&amp;$L$10&amp;"*",'2. Status Detalhe Campos FY24'!U:U,"*anterior*")</f>
        <v>0</v>
      </c>
      <c r="N17" s="436">
        <f t="shared" si="2"/>
        <v>0</v>
      </c>
      <c r="O17" s="333"/>
      <c r="P17" s="424" t="s">
        <v>2370</v>
      </c>
      <c r="Q17" s="333"/>
      <c r="R17" s="502">
        <f>+SUM(R12:S16)</f>
        <v>68</v>
      </c>
      <c r="S17" s="502"/>
      <c r="T17" s="503">
        <f>+SUM(T12:T16)</f>
        <v>71</v>
      </c>
      <c r="U17" s="503"/>
      <c r="V17" s="426"/>
      <c r="W17" s="333"/>
      <c r="X17" s="527"/>
      <c r="Y17" s="528"/>
      <c r="Z17" s="528"/>
      <c r="AA17" s="528"/>
      <c r="AB17" s="528"/>
      <c r="AC17" s="528"/>
      <c r="AD17" s="528"/>
      <c r="AE17" s="528"/>
      <c r="AF17" s="529"/>
      <c r="AG17" s="334"/>
      <c r="AH17" s="116"/>
    </row>
    <row r="18" spans="1:34" ht="18.75" customHeight="1">
      <c r="A18" s="116"/>
      <c r="B18" s="326"/>
      <c r="C18" s="393" t="s">
        <v>2356</v>
      </c>
      <c r="D18" s="395"/>
      <c r="E18" s="416">
        <v>0</v>
      </c>
      <c r="F18" s="497">
        <v>0</v>
      </c>
      <c r="G18" s="438">
        <v>0</v>
      </c>
      <c r="H18" s="415">
        <v>0</v>
      </c>
      <c r="I18" s="417">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7"/>
      <c r="Y18" s="528"/>
      <c r="Z18" s="528"/>
      <c r="AA18" s="528"/>
      <c r="AB18" s="528"/>
      <c r="AC18" s="528"/>
      <c r="AD18" s="528"/>
      <c r="AE18" s="528"/>
      <c r="AF18" s="529"/>
      <c r="AG18" s="334"/>
      <c r="AH18" s="116"/>
    </row>
    <row r="19" spans="1:34" ht="18.649999999999999" customHeight="1">
      <c r="A19" s="116"/>
      <c r="B19" s="326"/>
      <c r="C19" s="507" t="s">
        <v>2332</v>
      </c>
      <c r="D19" s="508"/>
      <c r="E19" s="411">
        <v>13</v>
      </c>
      <c r="F19" s="498">
        <v>8</v>
      </c>
      <c r="G19" s="434">
        <v>-5</v>
      </c>
      <c r="H19" s="410">
        <v>5</v>
      </c>
      <c r="I19" s="412">
        <v>8</v>
      </c>
      <c r="J19" s="433">
        <v>8</v>
      </c>
      <c r="K19" s="434">
        <f t="shared" si="1"/>
        <v>-5</v>
      </c>
      <c r="L19" s="410">
        <f t="shared" si="0"/>
        <v>5</v>
      </c>
      <c r="M19" s="412">
        <f>+COUNTIFS('2. Status Detalhe Campos FY24'!$C:$C,"*Verde*",'2. Status Detalhe Campos FY24'!$J:$J,"*"&amp;$L$10&amp;"*")</f>
        <v>0</v>
      </c>
      <c r="N19" s="434">
        <f t="shared" si="2"/>
        <v>5</v>
      </c>
      <c r="O19" s="333"/>
      <c r="P19" s="370"/>
      <c r="Q19" s="333"/>
      <c r="R19" s="333"/>
      <c r="S19" s="333"/>
      <c r="T19" s="333"/>
      <c r="U19" s="333"/>
      <c r="V19" s="333"/>
      <c r="W19" s="333"/>
      <c r="X19" s="527"/>
      <c r="Y19" s="528"/>
      <c r="Z19" s="528"/>
      <c r="AA19" s="528"/>
      <c r="AB19" s="528"/>
      <c r="AC19" s="528"/>
      <c r="AD19" s="528"/>
      <c r="AE19" s="528"/>
      <c r="AF19" s="529"/>
      <c r="AG19" s="334"/>
      <c r="AH19" s="116"/>
    </row>
    <row r="20" spans="1:34" ht="18.75" customHeight="1">
      <c r="A20" s="116"/>
      <c r="B20" s="326"/>
      <c r="C20" s="389" t="s">
        <v>2366</v>
      </c>
      <c r="D20" s="396"/>
      <c r="E20" s="419">
        <v>2</v>
      </c>
      <c r="F20" s="499">
        <v>1</v>
      </c>
      <c r="G20" s="440">
        <v>-1</v>
      </c>
      <c r="H20" s="418">
        <v>1</v>
      </c>
      <c r="I20" s="414">
        <v>8</v>
      </c>
      <c r="J20" s="439">
        <v>7</v>
      </c>
      <c r="K20" s="440">
        <f t="shared" si="1"/>
        <v>-2</v>
      </c>
      <c r="L20" s="418">
        <f t="shared" si="0"/>
        <v>2</v>
      </c>
      <c r="M20" s="414">
        <f>+COUNTIFS('2. Status Detalhe Campos FY24'!$C:$C,"*Verde*",'2. Status Detalhe Campos FY24'!$J:$J,"*"&amp;$L$10&amp;"*",'2. Status Detalhe Campos FY24'!U:U,"*anterior*")</f>
        <v>0</v>
      </c>
      <c r="N20" s="436">
        <f t="shared" si="2"/>
        <v>2</v>
      </c>
      <c r="O20" s="333"/>
      <c r="P20" s="370"/>
      <c r="Q20" s="333"/>
      <c r="R20" s="333"/>
      <c r="S20" s="333"/>
      <c r="T20" s="333"/>
      <c r="U20" s="333"/>
      <c r="V20" s="333"/>
      <c r="W20" s="333"/>
      <c r="X20" s="527"/>
      <c r="Y20" s="528"/>
      <c r="Z20" s="528"/>
      <c r="AA20" s="528"/>
      <c r="AB20" s="528"/>
      <c r="AC20" s="528"/>
      <c r="AD20" s="528"/>
      <c r="AE20" s="528"/>
      <c r="AF20" s="529"/>
      <c r="AG20" s="334"/>
      <c r="AH20" s="116"/>
    </row>
    <row r="21" spans="1:34" ht="18.75" customHeight="1">
      <c r="A21" s="116"/>
      <c r="B21" s="326"/>
      <c r="C21" s="393" t="s">
        <v>2356</v>
      </c>
      <c r="D21" s="395"/>
      <c r="E21" s="416">
        <v>11</v>
      </c>
      <c r="F21" s="497">
        <v>7</v>
      </c>
      <c r="G21" s="438">
        <v>-4</v>
      </c>
      <c r="H21" s="441">
        <v>4</v>
      </c>
      <c r="I21" s="417">
        <v>0</v>
      </c>
      <c r="J21" s="437">
        <v>1</v>
      </c>
      <c r="K21" s="438">
        <f t="shared" si="1"/>
        <v>-3</v>
      </c>
      <c r="L21" s="441">
        <f t="shared" si="0"/>
        <v>3</v>
      </c>
      <c r="M21" s="417">
        <v>0</v>
      </c>
      <c r="N21" s="438">
        <f t="shared" si="2"/>
        <v>3</v>
      </c>
      <c r="O21" s="333"/>
      <c r="P21" s="370"/>
      <c r="Q21" s="333"/>
      <c r="R21" s="333"/>
      <c r="S21" s="333"/>
      <c r="T21" s="333"/>
      <c r="U21" s="333"/>
      <c r="V21" s="333"/>
      <c r="W21" s="333"/>
      <c r="X21" s="527"/>
      <c r="Y21" s="528"/>
      <c r="Z21" s="528"/>
      <c r="AA21" s="528"/>
      <c r="AB21" s="528"/>
      <c r="AC21" s="528"/>
      <c r="AD21" s="528"/>
      <c r="AE21" s="528"/>
      <c r="AF21" s="529"/>
      <c r="AG21" s="334"/>
      <c r="AH21" s="116"/>
    </row>
    <row r="22" spans="1:34" ht="18.75" customHeight="1">
      <c r="A22" s="116"/>
      <c r="B22" s="326"/>
      <c r="C22" s="509" t="s">
        <v>2326</v>
      </c>
      <c r="D22" s="510"/>
      <c r="E22" s="464">
        <v>23</v>
      </c>
      <c r="F22" s="470">
        <v>22</v>
      </c>
      <c r="G22" s="470">
        <v>-5</v>
      </c>
      <c r="H22" s="463">
        <v>5</v>
      </c>
      <c r="I22" s="465">
        <v>8</v>
      </c>
      <c r="J22" s="468">
        <f>8+14</f>
        <v>22</v>
      </c>
      <c r="K22" s="470">
        <f t="shared" si="1"/>
        <v>9</v>
      </c>
      <c r="L22" s="463">
        <f>+SUM(L13,L16,L19)</f>
        <v>7</v>
      </c>
      <c r="M22" s="465">
        <f>+SUM(M13,M16,M19)</f>
        <v>0</v>
      </c>
      <c r="N22" s="470">
        <f>+SUM(N13,N16,N19)</f>
        <v>7</v>
      </c>
      <c r="O22" s="333"/>
      <c r="P22" s="370"/>
      <c r="Q22" s="333"/>
      <c r="R22" s="333"/>
      <c r="S22" s="333"/>
      <c r="T22" s="333"/>
      <c r="U22" s="333"/>
      <c r="V22" s="333"/>
      <c r="W22" s="333"/>
      <c r="X22" s="527"/>
      <c r="Y22" s="528"/>
      <c r="Z22" s="528"/>
      <c r="AA22" s="528"/>
      <c r="AB22" s="528"/>
      <c r="AC22" s="528"/>
      <c r="AD22" s="528"/>
      <c r="AE22" s="528"/>
      <c r="AF22" s="529"/>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7"/>
      <c r="Y23" s="528"/>
      <c r="Z23" s="528"/>
      <c r="AA23" s="528"/>
      <c r="AB23" s="528"/>
      <c r="AC23" s="528"/>
      <c r="AD23" s="528"/>
      <c r="AE23" s="528"/>
      <c r="AF23" s="529"/>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7"/>
      <c r="Y24" s="528"/>
      <c r="Z24" s="528"/>
      <c r="AA24" s="528"/>
      <c r="AB24" s="528"/>
      <c r="AC24" s="528"/>
      <c r="AD24" s="528"/>
      <c r="AE24" s="528"/>
      <c r="AF24" s="529"/>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7"/>
      <c r="Y25" s="528"/>
      <c r="Z25" s="528"/>
      <c r="AA25" s="528"/>
      <c r="AB25" s="528"/>
      <c r="AC25" s="528"/>
      <c r="AD25" s="528"/>
      <c r="AE25" s="528"/>
      <c r="AF25" s="529"/>
      <c r="AG25" s="334"/>
      <c r="AH25" s="116"/>
    </row>
    <row r="26" spans="1:34" ht="18.75" customHeight="1">
      <c r="A26" s="116"/>
      <c r="B26" s="326"/>
      <c r="C26" s="517" t="s">
        <v>8</v>
      </c>
      <c r="D26" s="518"/>
      <c r="E26" s="511" t="s">
        <v>2339</v>
      </c>
      <c r="F26" s="512"/>
      <c r="G26" s="512"/>
      <c r="H26" s="512"/>
      <c r="I26" s="513"/>
      <c r="J26" s="514" t="s">
        <v>2345</v>
      </c>
      <c r="K26" s="515"/>
      <c r="L26" s="515"/>
      <c r="M26" s="515"/>
      <c r="N26" s="515"/>
      <c r="O26" s="516"/>
      <c r="P26" s="511" t="s">
        <v>2346</v>
      </c>
      <c r="Q26" s="512"/>
      <c r="R26" s="513"/>
      <c r="S26" s="333"/>
      <c r="T26" s="333"/>
      <c r="U26" s="161"/>
      <c r="V26" s="333"/>
      <c r="W26" s="333"/>
      <c r="X26" s="527"/>
      <c r="Y26" s="528"/>
      <c r="Z26" s="528"/>
      <c r="AA26" s="528"/>
      <c r="AB26" s="528"/>
      <c r="AC26" s="528"/>
      <c r="AD26" s="528"/>
      <c r="AE26" s="528"/>
      <c r="AF26" s="529"/>
      <c r="AG26" s="334"/>
      <c r="AH26" s="116"/>
    </row>
    <row r="27" spans="1:34" ht="18.75" customHeight="1">
      <c r="A27" s="116"/>
      <c r="B27" s="326"/>
      <c r="C27" s="519"/>
      <c r="D27" s="520"/>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7"/>
      <c r="Y27" s="528"/>
      <c r="Z27" s="528"/>
      <c r="AA27" s="528"/>
      <c r="AB27" s="528"/>
      <c r="AC27" s="528"/>
      <c r="AD27" s="528"/>
      <c r="AE27" s="528"/>
      <c r="AF27" s="529"/>
      <c r="AG27" s="334"/>
      <c r="AH27" s="116"/>
    </row>
    <row r="28" spans="1:34" ht="18.75" customHeight="1">
      <c r="A28" s="116"/>
      <c r="B28" s="326"/>
      <c r="C28" s="507" t="s">
        <v>2331</v>
      </c>
      <c r="D28" s="508"/>
      <c r="E28" s="442">
        <v>0</v>
      </c>
      <c r="F28" s="443">
        <v>0</v>
      </c>
      <c r="G28" s="444">
        <v>0</v>
      </c>
      <c r="H28" s="444">
        <v>0</v>
      </c>
      <c r="I28" s="445">
        <v>0</v>
      </c>
      <c r="J28" s="442">
        <v>0</v>
      </c>
      <c r="K28" s="444">
        <v>47</v>
      </c>
      <c r="L28" s="406">
        <v>0</v>
      </c>
      <c r="M28" s="431">
        <v>45</v>
      </c>
      <c r="N28" s="407">
        <v>0</v>
      </c>
      <c r="O28" s="432">
        <f>+SUM(J28:K28)-SUM(L28:N28)</f>
        <v>2</v>
      </c>
      <c r="P28" s="442">
        <v>2</v>
      </c>
      <c r="Q28" s="444">
        <f>+COUNTIFS('2. Status Detalhe Campos FY24'!$C:$C,"*Bens Imóveis*",'2. Status Detalhe Campos FY24'!$K:$K,"*"&amp;$P$25&amp;"*")</f>
        <v>0</v>
      </c>
      <c r="R28" s="445">
        <f>+Q28+P28</f>
        <v>2</v>
      </c>
      <c r="S28" s="333"/>
      <c r="T28" s="333"/>
      <c r="U28" s="370"/>
      <c r="V28" s="333"/>
      <c r="W28" s="333"/>
      <c r="X28" s="527"/>
      <c r="Y28" s="528"/>
      <c r="Z28" s="528"/>
      <c r="AA28" s="528"/>
      <c r="AB28" s="528"/>
      <c r="AC28" s="528"/>
      <c r="AD28" s="528"/>
      <c r="AE28" s="528"/>
      <c r="AF28" s="529"/>
      <c r="AG28" s="334"/>
      <c r="AH28" s="116"/>
    </row>
    <row r="29" spans="1:34" ht="18.75" customHeight="1">
      <c r="A29" s="116"/>
      <c r="B29" s="326"/>
      <c r="C29" s="389" t="s">
        <v>2357</v>
      </c>
      <c r="D29" s="394"/>
      <c r="E29" s="451">
        <v>0</v>
      </c>
      <c r="F29" s="452">
        <v>0</v>
      </c>
      <c r="G29" s="453">
        <v>0</v>
      </c>
      <c r="H29" s="453">
        <v>0</v>
      </c>
      <c r="I29" s="454">
        <v>0</v>
      </c>
      <c r="J29" s="451">
        <v>0</v>
      </c>
      <c r="K29" s="453">
        <v>47</v>
      </c>
      <c r="L29" s="455">
        <v>0</v>
      </c>
      <c r="M29" s="435">
        <v>45</v>
      </c>
      <c r="N29" s="456">
        <v>0</v>
      </c>
      <c r="O29" s="436">
        <f t="shared" ref="O29:O36" si="3">+SUM(J29:K29)-SUM(L29:N29)</f>
        <v>2</v>
      </c>
      <c r="P29" s="451">
        <v>2</v>
      </c>
      <c r="Q29" s="453">
        <f>+COUNTIFS('2. Status Detalhe Campos FY24'!$C:$C,"*Bens Imóveis*",'2. Status Detalhe Campos FY24'!$K:$K,"*"&amp;$P$25&amp;"*",'2. Status Detalhe Campos FY24'!U:U,"*anterior*")</f>
        <v>0</v>
      </c>
      <c r="R29" s="454">
        <f t="shared" ref="R29:R36" si="4">+Q29+P29</f>
        <v>2</v>
      </c>
      <c r="S29" s="333"/>
      <c r="T29" s="333"/>
      <c r="U29" s="333"/>
      <c r="V29" s="333"/>
      <c r="W29" s="333"/>
      <c r="X29" s="527"/>
      <c r="Y29" s="528"/>
      <c r="Z29" s="528"/>
      <c r="AA29" s="528"/>
      <c r="AB29" s="528"/>
      <c r="AC29" s="528"/>
      <c r="AD29" s="528"/>
      <c r="AE29" s="528"/>
      <c r="AF29" s="529"/>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37">
        <v>0</v>
      </c>
      <c r="N30" s="462">
        <v>0</v>
      </c>
      <c r="O30" s="438">
        <f t="shared" si="3"/>
        <v>0</v>
      </c>
      <c r="P30" s="457">
        <v>0</v>
      </c>
      <c r="Q30" s="459">
        <f>+COUNTIFS('2. Status Detalhe Campos FY24'!$C:$C,"*Bens Imóveis*",'2. Status Detalhe Campos FY24'!$K:$K,"*"&amp;$P$25&amp;"*",'2. Status Detalhe Campos FY24'!U:U,"*Novo Plano*")</f>
        <v>0</v>
      </c>
      <c r="R30" s="460">
        <f t="shared" si="4"/>
        <v>0</v>
      </c>
      <c r="S30" s="333"/>
      <c r="T30" s="333"/>
      <c r="U30" s="333"/>
      <c r="V30" s="333"/>
      <c r="W30" s="333"/>
      <c r="X30" s="527"/>
      <c r="Y30" s="528"/>
      <c r="Z30" s="528"/>
      <c r="AA30" s="528"/>
      <c r="AB30" s="528"/>
      <c r="AC30" s="528"/>
      <c r="AD30" s="528"/>
      <c r="AE30" s="528"/>
      <c r="AF30" s="529"/>
      <c r="AG30" s="334"/>
      <c r="AH30" s="116"/>
    </row>
    <row r="31" spans="1:34" ht="18.75" customHeight="1">
      <c r="A31" s="116"/>
      <c r="B31" s="326"/>
      <c r="C31" s="507" t="s">
        <v>29</v>
      </c>
      <c r="D31" s="508"/>
      <c r="E31" s="442">
        <v>20</v>
      </c>
      <c r="F31" s="443">
        <v>0</v>
      </c>
      <c r="G31" s="444">
        <v>20</v>
      </c>
      <c r="H31" s="444">
        <v>0</v>
      </c>
      <c r="I31" s="445">
        <v>0</v>
      </c>
      <c r="J31" s="442">
        <v>0</v>
      </c>
      <c r="K31" s="444">
        <v>17</v>
      </c>
      <c r="L31" s="406">
        <v>0</v>
      </c>
      <c r="M31" s="433">
        <v>17</v>
      </c>
      <c r="N31" s="407">
        <v>0</v>
      </c>
      <c r="O31" s="432">
        <f t="shared" si="3"/>
        <v>0</v>
      </c>
      <c r="P31" s="442">
        <v>0</v>
      </c>
      <c r="Q31" s="444">
        <f>+COUNTIFS('2. Status Detalhe Campos FY24'!$C:$C,"*Verde*",'2. Status Detalhe Campos FY24'!$K:$K,"*"&amp;$P$25&amp;"*")</f>
        <v>5</v>
      </c>
      <c r="R31" s="445">
        <f t="shared" si="4"/>
        <v>5</v>
      </c>
      <c r="S31" s="333"/>
      <c r="T31" s="333"/>
      <c r="U31" s="333"/>
      <c r="V31" s="333"/>
      <c r="W31" s="333"/>
      <c r="X31" s="527"/>
      <c r="Y31" s="528"/>
      <c r="Z31" s="528"/>
      <c r="AA31" s="528"/>
      <c r="AB31" s="528"/>
      <c r="AC31" s="528"/>
      <c r="AD31" s="528"/>
      <c r="AE31" s="528"/>
      <c r="AF31" s="529"/>
      <c r="AG31" s="334"/>
      <c r="AH31" s="116"/>
    </row>
    <row r="32" spans="1:34" ht="18.75" customHeight="1">
      <c r="A32" s="116"/>
      <c r="B32" s="326"/>
      <c r="C32" s="389" t="s">
        <v>2357</v>
      </c>
      <c r="D32" s="394"/>
      <c r="E32" s="451">
        <v>0</v>
      </c>
      <c r="F32" s="452">
        <v>0</v>
      </c>
      <c r="G32" s="453">
        <v>0</v>
      </c>
      <c r="H32" s="453">
        <v>0</v>
      </c>
      <c r="I32" s="454">
        <v>0</v>
      </c>
      <c r="J32" s="451">
        <v>0</v>
      </c>
      <c r="K32" s="453">
        <v>12</v>
      </c>
      <c r="L32" s="455">
        <v>0</v>
      </c>
      <c r="M32" s="435">
        <v>12</v>
      </c>
      <c r="N32" s="456">
        <v>0</v>
      </c>
      <c r="O32" s="436">
        <f t="shared" si="3"/>
        <v>0</v>
      </c>
      <c r="P32" s="451">
        <v>0</v>
      </c>
      <c r="Q32" s="453">
        <f>+COUNTIFS('2. Status Detalhe Campos FY24'!$C:$C,"*Verde*",'2. Status Detalhe Campos FY24'!$K:$K,"*"&amp;$P$25&amp;"*",'2. Status Detalhe Campos FY24'!U:U,"*anterior*")</f>
        <v>5</v>
      </c>
      <c r="R32" s="454">
        <f t="shared" si="4"/>
        <v>5</v>
      </c>
      <c r="S32" s="333"/>
      <c r="T32" s="333"/>
      <c r="U32" s="333"/>
      <c r="V32" s="333"/>
      <c r="W32" s="333"/>
      <c r="X32" s="527"/>
      <c r="Y32" s="528"/>
      <c r="Z32" s="528"/>
      <c r="AA32" s="528"/>
      <c r="AB32" s="528"/>
      <c r="AC32" s="528"/>
      <c r="AD32" s="528"/>
      <c r="AE32" s="528"/>
      <c r="AF32" s="529"/>
      <c r="AG32" s="334"/>
      <c r="AH32" s="116"/>
    </row>
    <row r="33" spans="1:34" ht="18.75" customHeight="1">
      <c r="A33" s="116"/>
      <c r="B33" s="326"/>
      <c r="C33" s="393" t="s">
        <v>2356</v>
      </c>
      <c r="D33" s="395"/>
      <c r="E33" s="457">
        <v>20</v>
      </c>
      <c r="F33" s="458">
        <v>0</v>
      </c>
      <c r="G33" s="459">
        <v>20</v>
      </c>
      <c r="H33" s="459">
        <v>0</v>
      </c>
      <c r="I33" s="460">
        <v>0</v>
      </c>
      <c r="J33" s="457">
        <v>0</v>
      </c>
      <c r="K33" s="459">
        <v>5</v>
      </c>
      <c r="L33" s="461">
        <v>0</v>
      </c>
      <c r="M33" s="437">
        <v>5</v>
      </c>
      <c r="N33" s="462">
        <v>0</v>
      </c>
      <c r="O33" s="438">
        <f t="shared" si="3"/>
        <v>0</v>
      </c>
      <c r="P33" s="457">
        <v>0</v>
      </c>
      <c r="Q33" s="459">
        <f>+COUNTIFS('2. Status Detalhe Campos FY24'!$C:$C,"*Verde*",'2. Status Detalhe Campos FY24'!$K:$K,"*"&amp;$P$25&amp;"*",'2. Status Detalhe Campos FY24'!U:U,"*Novo Plano*")</f>
        <v>0</v>
      </c>
      <c r="R33" s="460">
        <f t="shared" si="4"/>
        <v>0</v>
      </c>
      <c r="S33" s="333"/>
      <c r="T33" s="333"/>
      <c r="U33" s="333"/>
      <c r="V33" s="333"/>
      <c r="W33" s="333"/>
      <c r="X33" s="527"/>
      <c r="Y33" s="528"/>
      <c r="Z33" s="528"/>
      <c r="AA33" s="528"/>
      <c r="AB33" s="528"/>
      <c r="AC33" s="528"/>
      <c r="AD33" s="528"/>
      <c r="AE33" s="528"/>
      <c r="AF33" s="529"/>
      <c r="AG33" s="334"/>
      <c r="AH33" s="116"/>
    </row>
    <row r="34" spans="1:34" ht="18.75" customHeight="1">
      <c r="A34" s="116"/>
      <c r="B34" s="326"/>
      <c r="C34" s="507" t="s">
        <v>2332</v>
      </c>
      <c r="D34" s="508"/>
      <c r="E34" s="442">
        <v>0</v>
      </c>
      <c r="F34" s="443">
        <v>0</v>
      </c>
      <c r="G34" s="444">
        <v>0</v>
      </c>
      <c r="H34" s="444">
        <v>0</v>
      </c>
      <c r="I34" s="445">
        <v>0</v>
      </c>
      <c r="J34" s="442">
        <v>0</v>
      </c>
      <c r="K34" s="444">
        <v>2</v>
      </c>
      <c r="L34" s="406">
        <v>0</v>
      </c>
      <c r="M34" s="433">
        <v>2</v>
      </c>
      <c r="N34" s="407">
        <v>0</v>
      </c>
      <c r="O34" s="432">
        <f t="shared" si="3"/>
        <v>0</v>
      </c>
      <c r="P34" s="442">
        <v>0</v>
      </c>
      <c r="Q34" s="444">
        <f>+COUNTIFS('2. Status Detalhe Campos FY24'!$C:$C,"*Pilar*",'2. Status Detalhe Campos FY24'!$K:$K,"*"&amp;$P$25&amp;"*")</f>
        <v>0</v>
      </c>
      <c r="R34" s="445">
        <f t="shared" si="4"/>
        <v>0</v>
      </c>
      <c r="S34" s="333"/>
      <c r="T34" s="333"/>
      <c r="U34" s="333"/>
      <c r="V34" s="333"/>
      <c r="W34" s="333"/>
      <c r="X34" s="527"/>
      <c r="Y34" s="528"/>
      <c r="Z34" s="528"/>
      <c r="AA34" s="528"/>
      <c r="AB34" s="528"/>
      <c r="AC34" s="528"/>
      <c r="AD34" s="528"/>
      <c r="AE34" s="528"/>
      <c r="AF34" s="529"/>
      <c r="AG34" s="334"/>
      <c r="AH34" s="116"/>
    </row>
    <row r="35" spans="1:34" ht="18.75" customHeight="1">
      <c r="A35" s="116"/>
      <c r="B35" s="326"/>
      <c r="C35" s="389" t="s">
        <v>2357</v>
      </c>
      <c r="D35" s="396"/>
      <c r="E35" s="451">
        <v>0</v>
      </c>
      <c r="F35" s="452">
        <v>0</v>
      </c>
      <c r="G35" s="453">
        <v>0</v>
      </c>
      <c r="H35" s="453">
        <v>0</v>
      </c>
      <c r="I35" s="454">
        <v>0</v>
      </c>
      <c r="J35" s="451">
        <v>0</v>
      </c>
      <c r="K35" s="453">
        <v>2</v>
      </c>
      <c r="L35" s="455">
        <v>0</v>
      </c>
      <c r="M35" s="439">
        <v>2</v>
      </c>
      <c r="N35" s="456">
        <v>0</v>
      </c>
      <c r="O35" s="436">
        <f t="shared" si="3"/>
        <v>0</v>
      </c>
      <c r="P35" s="451">
        <v>0</v>
      </c>
      <c r="Q35" s="453">
        <f>+COUNTIFS('2. Status Detalhe Campos FY24'!$C:$C,"*Pilar*",'2. Status Detalhe Campos FY24'!$K:$K,"*"&amp;$P$25&amp;"*",'2. Status Detalhe Campos FY24'!U:U,"*anterior*")</f>
        <v>0</v>
      </c>
      <c r="R35" s="454">
        <f t="shared" si="4"/>
        <v>0</v>
      </c>
      <c r="S35" s="333"/>
      <c r="T35" s="333"/>
      <c r="U35" s="333"/>
      <c r="V35" s="333"/>
      <c r="W35" s="333"/>
      <c r="X35" s="527"/>
      <c r="Y35" s="528"/>
      <c r="Z35" s="528"/>
      <c r="AA35" s="528"/>
      <c r="AB35" s="528"/>
      <c r="AC35" s="528"/>
      <c r="AD35" s="528"/>
      <c r="AE35" s="528"/>
      <c r="AF35" s="529"/>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7">
        <v>0</v>
      </c>
      <c r="Q36" s="459">
        <f>+COUNTIFS('2. Status Detalhe Campos FY24'!$C:$C,"*Pilar*",'2. Status Detalhe Campos FY24'!$K:$K,"*"&amp;$P$25&amp;"*",'2. Status Detalhe Campos FY24'!U:U,"*Novo Plano*")</f>
        <v>0</v>
      </c>
      <c r="R36" s="460">
        <f t="shared" si="4"/>
        <v>0</v>
      </c>
      <c r="S36" s="333"/>
      <c r="T36" s="333"/>
      <c r="U36" s="333"/>
      <c r="V36" s="333"/>
      <c r="W36" s="333"/>
      <c r="X36" s="527"/>
      <c r="Y36" s="528"/>
      <c r="Z36" s="528"/>
      <c r="AA36" s="528"/>
      <c r="AB36" s="528"/>
      <c r="AC36" s="528"/>
      <c r="AD36" s="528"/>
      <c r="AE36" s="528"/>
      <c r="AF36" s="529"/>
      <c r="AG36" s="334"/>
      <c r="AH36" s="116"/>
    </row>
    <row r="37" spans="1:34" ht="18.75" customHeight="1">
      <c r="A37" s="116"/>
      <c r="B37" s="326"/>
      <c r="C37" s="509" t="s">
        <v>2326</v>
      </c>
      <c r="D37" s="510"/>
      <c r="E37" s="463">
        <v>20</v>
      </c>
      <c r="F37" s="464">
        <v>0</v>
      </c>
      <c r="G37" s="465">
        <v>20</v>
      </c>
      <c r="H37" s="466">
        <v>0</v>
      </c>
      <c r="I37" s="466">
        <v>0</v>
      </c>
      <c r="J37" s="463">
        <v>2</v>
      </c>
      <c r="K37" s="465">
        <v>66</v>
      </c>
      <c r="L37" s="467">
        <f t="shared" ref="L37:R37" si="5">+SUM(L28,L31,L34)</f>
        <v>0</v>
      </c>
      <c r="M37" s="468">
        <f t="shared" si="5"/>
        <v>64</v>
      </c>
      <c r="N37" s="469">
        <f t="shared" si="5"/>
        <v>0</v>
      </c>
      <c r="O37" s="466">
        <f t="shared" si="5"/>
        <v>2</v>
      </c>
      <c r="P37" s="463">
        <v>2</v>
      </c>
      <c r="Q37" s="465">
        <f t="shared" si="5"/>
        <v>5</v>
      </c>
      <c r="R37" s="470">
        <f t="shared" si="5"/>
        <v>7</v>
      </c>
      <c r="S37" s="333"/>
      <c r="T37" s="333"/>
      <c r="U37" s="333"/>
      <c r="V37" s="333"/>
      <c r="W37" s="333"/>
      <c r="X37" s="527"/>
      <c r="Y37" s="528"/>
      <c r="Z37" s="528"/>
      <c r="AA37" s="528"/>
      <c r="AB37" s="528"/>
      <c r="AC37" s="528"/>
      <c r="AD37" s="528"/>
      <c r="AE37" s="528"/>
      <c r="AF37" s="529"/>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7"/>
      <c r="Y38" s="528"/>
      <c r="Z38" s="528"/>
      <c r="AA38" s="528"/>
      <c r="AB38" s="528"/>
      <c r="AC38" s="528"/>
      <c r="AD38" s="528"/>
      <c r="AE38" s="528"/>
      <c r="AF38" s="529"/>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7"/>
      <c r="Y39" s="528"/>
      <c r="Z39" s="528"/>
      <c r="AA39" s="528"/>
      <c r="AB39" s="528"/>
      <c r="AC39" s="528"/>
      <c r="AD39" s="528"/>
      <c r="AE39" s="528"/>
      <c r="AF39" s="529"/>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7"/>
      <c r="Y40" s="528"/>
      <c r="Z40" s="528"/>
      <c r="AA40" s="528"/>
      <c r="AB40" s="528"/>
      <c r="AC40" s="528"/>
      <c r="AD40" s="528"/>
      <c r="AE40" s="528"/>
      <c r="AF40" s="529"/>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7"/>
      <c r="Y41" s="528"/>
      <c r="Z41" s="528"/>
      <c r="AA41" s="528"/>
      <c r="AB41" s="528"/>
      <c r="AC41" s="528"/>
      <c r="AD41" s="528"/>
      <c r="AE41" s="528"/>
      <c r="AF41" s="529"/>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7"/>
      <c r="Y42" s="528"/>
      <c r="Z42" s="528"/>
      <c r="AA42" s="528"/>
      <c r="AB42" s="528"/>
      <c r="AC42" s="528"/>
      <c r="AD42" s="528"/>
      <c r="AE42" s="528"/>
      <c r="AF42" s="529"/>
      <c r="AG42" s="334"/>
      <c r="AH42" s="116"/>
    </row>
    <row r="43" spans="1:34" ht="19.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7"/>
      <c r="Y43" s="528"/>
      <c r="Z43" s="528"/>
      <c r="AA43" s="528"/>
      <c r="AB43" s="528"/>
      <c r="AC43" s="528"/>
      <c r="AD43" s="528"/>
      <c r="AE43" s="528"/>
      <c r="AF43" s="529"/>
      <c r="AG43" s="334"/>
      <c r="AH43" s="116"/>
    </row>
    <row r="44" spans="1:34" ht="19.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527"/>
      <c r="Y44" s="528"/>
      <c r="Z44" s="528"/>
      <c r="AA44" s="528"/>
      <c r="AB44" s="528"/>
      <c r="AC44" s="528"/>
      <c r="AD44" s="528"/>
      <c r="AE44" s="528"/>
      <c r="AF44" s="529"/>
      <c r="AG44" s="334"/>
      <c r="AH44" s="116"/>
    </row>
    <row r="45" spans="1:34" ht="19.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527"/>
      <c r="Y45" s="528"/>
      <c r="Z45" s="528"/>
      <c r="AA45" s="528"/>
      <c r="AB45" s="528"/>
      <c r="AC45" s="528"/>
      <c r="AD45" s="528"/>
      <c r="AE45" s="528"/>
      <c r="AF45" s="529"/>
      <c r="AG45" s="334"/>
      <c r="AH45" s="116"/>
    </row>
    <row r="46" spans="1:34" ht="19.75" customHeight="1">
      <c r="A46" s="116"/>
      <c r="B46" s="326"/>
      <c r="C46" s="333"/>
      <c r="D46" s="333"/>
      <c r="E46" s="333"/>
      <c r="F46" s="333"/>
      <c r="G46" s="333"/>
      <c r="H46" s="333"/>
      <c r="I46" s="333"/>
      <c r="J46" s="333"/>
      <c r="K46" s="333"/>
      <c r="L46" s="333"/>
      <c r="M46" s="333"/>
      <c r="N46" s="333"/>
      <c r="O46" s="333"/>
      <c r="P46" s="333"/>
      <c r="Q46" s="333"/>
      <c r="R46" s="333"/>
      <c r="S46" s="333"/>
      <c r="T46" s="333"/>
      <c r="U46" s="333"/>
      <c r="V46" s="333"/>
      <c r="W46" s="333"/>
      <c r="X46" s="527"/>
      <c r="Y46" s="528"/>
      <c r="Z46" s="528"/>
      <c r="AA46" s="528"/>
      <c r="AB46" s="528"/>
      <c r="AC46" s="528"/>
      <c r="AD46" s="528"/>
      <c r="AE46" s="528"/>
      <c r="AF46" s="529"/>
      <c r="AG46" s="334"/>
      <c r="AH46" s="116"/>
    </row>
    <row r="47" spans="1:34" ht="19.75" customHeight="1">
      <c r="A47" s="116"/>
      <c r="B47" s="326"/>
      <c r="C47" s="333"/>
      <c r="D47" s="333"/>
      <c r="E47" s="333"/>
      <c r="F47" s="333"/>
      <c r="G47" s="333"/>
      <c r="H47" s="333"/>
      <c r="I47" s="333"/>
      <c r="J47" s="333"/>
      <c r="K47" s="333"/>
      <c r="L47" s="333"/>
      <c r="M47" s="333"/>
      <c r="N47" s="333"/>
      <c r="O47" s="333"/>
      <c r="P47" s="333"/>
      <c r="Q47" s="333"/>
      <c r="R47" s="333"/>
      <c r="S47" s="333"/>
      <c r="T47" s="333"/>
      <c r="U47" s="333"/>
      <c r="V47" s="333"/>
      <c r="W47" s="333"/>
      <c r="X47" s="527"/>
      <c r="Y47" s="528"/>
      <c r="Z47" s="528"/>
      <c r="AA47" s="528"/>
      <c r="AB47" s="528"/>
      <c r="AC47" s="528"/>
      <c r="AD47" s="528"/>
      <c r="AE47" s="528"/>
      <c r="AF47" s="529"/>
      <c r="AG47" s="334"/>
      <c r="AH47" s="116"/>
    </row>
    <row r="48" spans="1:34" ht="19.75" customHeight="1">
      <c r="A48" s="116"/>
      <c r="B48" s="326"/>
      <c r="C48" s="333"/>
      <c r="D48" s="333"/>
      <c r="E48" s="333"/>
      <c r="F48" s="333"/>
      <c r="G48" s="333"/>
      <c r="H48" s="333"/>
      <c r="I48" s="333"/>
      <c r="J48" s="333"/>
      <c r="K48" s="333"/>
      <c r="L48" s="333"/>
      <c r="M48" s="333"/>
      <c r="N48" s="333"/>
      <c r="O48" s="333"/>
      <c r="P48" s="333"/>
      <c r="Q48" s="333"/>
      <c r="R48" s="333"/>
      <c r="S48" s="333"/>
      <c r="T48" s="333"/>
      <c r="U48" s="333"/>
      <c r="V48" s="333"/>
      <c r="W48" s="333"/>
      <c r="X48" s="527"/>
      <c r="Y48" s="528"/>
      <c r="Z48" s="528"/>
      <c r="AA48" s="528"/>
      <c r="AB48" s="528"/>
      <c r="AC48" s="528"/>
      <c r="AD48" s="528"/>
      <c r="AE48" s="528"/>
      <c r="AF48" s="529"/>
      <c r="AG48" s="334"/>
      <c r="AH48" s="116"/>
    </row>
    <row r="49" spans="1:34" ht="19.75" customHeight="1">
      <c r="A49" s="116"/>
      <c r="B49" s="326"/>
      <c r="C49" s="333"/>
      <c r="D49" s="333"/>
      <c r="E49" s="333"/>
      <c r="F49" s="333"/>
      <c r="G49" s="333"/>
      <c r="H49" s="333"/>
      <c r="I49" s="333"/>
      <c r="J49" s="333"/>
      <c r="K49" s="333"/>
      <c r="L49" s="333"/>
      <c r="M49" s="333"/>
      <c r="N49" s="333"/>
      <c r="O49" s="333"/>
      <c r="P49" s="333"/>
      <c r="Q49" s="333"/>
      <c r="R49" s="333"/>
      <c r="S49" s="333"/>
      <c r="T49" s="333"/>
      <c r="U49" s="333"/>
      <c r="V49" s="333"/>
      <c r="W49" s="333"/>
      <c r="X49" s="527"/>
      <c r="Y49" s="528"/>
      <c r="Z49" s="528"/>
      <c r="AA49" s="528"/>
      <c r="AB49" s="528"/>
      <c r="AC49" s="528"/>
      <c r="AD49" s="528"/>
      <c r="AE49" s="528"/>
      <c r="AF49" s="529"/>
      <c r="AG49" s="334"/>
      <c r="AH49" s="116"/>
    </row>
    <row r="50" spans="1:34" ht="19.75" customHeight="1">
      <c r="A50" s="116"/>
      <c r="B50" s="326"/>
      <c r="C50" s="333"/>
      <c r="D50" s="333"/>
      <c r="E50" s="333"/>
      <c r="F50" s="333"/>
      <c r="G50" s="333"/>
      <c r="H50" s="333"/>
      <c r="I50" s="333"/>
      <c r="J50" s="333"/>
      <c r="K50" s="333"/>
      <c r="L50" s="333"/>
      <c r="M50" s="333"/>
      <c r="N50" s="333"/>
      <c r="O50" s="333"/>
      <c r="P50" s="333"/>
      <c r="Q50" s="333"/>
      <c r="R50" s="333"/>
      <c r="S50" s="333"/>
      <c r="T50" s="333"/>
      <c r="U50" s="333"/>
      <c r="V50" s="333"/>
      <c r="W50" s="333"/>
      <c r="X50" s="527"/>
      <c r="Y50" s="528"/>
      <c r="Z50" s="528"/>
      <c r="AA50" s="528"/>
      <c r="AB50" s="528"/>
      <c r="AC50" s="528"/>
      <c r="AD50" s="528"/>
      <c r="AE50" s="528"/>
      <c r="AF50" s="529"/>
      <c r="AG50" s="334"/>
      <c r="AH50" s="116"/>
    </row>
    <row r="51" spans="1:34" ht="19.75" customHeight="1">
      <c r="A51" s="116"/>
      <c r="B51" s="326"/>
      <c r="C51" s="333"/>
      <c r="D51" s="333"/>
      <c r="E51" s="333"/>
      <c r="F51" s="333"/>
      <c r="G51" s="333"/>
      <c r="H51" s="333"/>
      <c r="I51" s="333"/>
      <c r="J51" s="333"/>
      <c r="K51" s="333"/>
      <c r="L51" s="333"/>
      <c r="M51" s="333"/>
      <c r="N51" s="333"/>
      <c r="O51" s="333"/>
      <c r="P51" s="333"/>
      <c r="Q51" s="333"/>
      <c r="R51" s="333"/>
      <c r="S51" s="333"/>
      <c r="T51" s="333"/>
      <c r="U51" s="333"/>
      <c r="V51" s="333"/>
      <c r="W51" s="333"/>
      <c r="X51" s="527"/>
      <c r="Y51" s="528"/>
      <c r="Z51" s="528"/>
      <c r="AA51" s="528"/>
      <c r="AB51" s="528"/>
      <c r="AC51" s="528"/>
      <c r="AD51" s="528"/>
      <c r="AE51" s="528"/>
      <c r="AF51" s="529"/>
      <c r="AG51" s="334"/>
      <c r="AH51" s="116"/>
    </row>
    <row r="52" spans="1:34" ht="18.75" customHeight="1">
      <c r="A52" s="116"/>
      <c r="B52" s="326"/>
      <c r="C52" s="333"/>
      <c r="D52" s="333"/>
      <c r="E52" s="333"/>
      <c r="F52" s="333"/>
      <c r="G52" s="333"/>
      <c r="H52" s="333"/>
      <c r="I52" s="333"/>
      <c r="J52" s="333"/>
      <c r="K52" s="333"/>
      <c r="L52" s="333"/>
      <c r="M52" s="333"/>
      <c r="N52" s="333"/>
      <c r="O52" s="333"/>
      <c r="P52" s="333"/>
      <c r="Q52" s="333"/>
      <c r="R52" s="333"/>
      <c r="S52" s="333"/>
      <c r="T52" s="333"/>
      <c r="U52" s="333"/>
      <c r="V52" s="333"/>
      <c r="W52" s="333"/>
      <c r="X52" s="530"/>
      <c r="Y52" s="531"/>
      <c r="Z52" s="531"/>
      <c r="AA52" s="531"/>
      <c r="AB52" s="531"/>
      <c r="AC52" s="531"/>
      <c r="AD52" s="531"/>
      <c r="AE52" s="531"/>
      <c r="AF52" s="532"/>
      <c r="AG52" s="334"/>
      <c r="AH52" s="116"/>
    </row>
    <row r="53" spans="1:34">
      <c r="A53" s="116"/>
      <c r="B53" s="384">
        <v>1</v>
      </c>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c r="AA53" s="327"/>
      <c r="AB53" s="327"/>
      <c r="AC53" s="327"/>
      <c r="AD53" s="327"/>
      <c r="AE53" s="327"/>
      <c r="AF53" s="327"/>
      <c r="AG53" s="385">
        <v>1</v>
      </c>
      <c r="AH53" s="116"/>
    </row>
    <row r="54" spans="1:34">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23">
      <c r="A55" s="116"/>
      <c r="B55" s="126" t="s">
        <v>2327</v>
      </c>
      <c r="C55" s="116"/>
      <c r="D55" s="116"/>
      <c r="E55" s="116"/>
      <c r="F55" s="116"/>
      <c r="G55" s="128" t="s">
        <v>34</v>
      </c>
      <c r="H55" s="128" t="s">
        <v>54</v>
      </c>
      <c r="I55" s="128" t="s">
        <v>181</v>
      </c>
      <c r="J55" s="128" t="s">
        <v>310</v>
      </c>
      <c r="K55" s="128" t="s">
        <v>26</v>
      </c>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5.1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16"/>
      <c r="B57" s="118"/>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20"/>
      <c r="AH57" s="116"/>
    </row>
    <row r="58" spans="1:34">
      <c r="A58" s="116"/>
      <c r="B58" s="121"/>
      <c r="C58" s="154" t="s">
        <v>606</v>
      </c>
      <c r="G58" s="154" t="s">
        <v>607</v>
      </c>
      <c r="P58" s="129" t="s">
        <v>608</v>
      </c>
      <c r="Q58" s="130"/>
      <c r="R58" s="129"/>
      <c r="S58" s="130"/>
      <c r="T58" s="131">
        <v>45716</v>
      </c>
      <c r="U58" s="131">
        <f>T58+7</f>
        <v>45723</v>
      </c>
      <c r="V58" s="132" t="s">
        <v>609</v>
      </c>
      <c r="X58" s="155" t="s">
        <v>610</v>
      </c>
      <c r="AG58" s="122"/>
      <c r="AH58" s="116"/>
    </row>
    <row r="59" spans="1:34" ht="17.899999999999999" customHeight="1">
      <c r="A59" s="116"/>
      <c r="B59" s="121"/>
      <c r="P59" s="374" t="s">
        <v>611</v>
      </c>
      <c r="Q59" s="374"/>
      <c r="R59" s="374"/>
      <c r="S59" s="374"/>
      <c r="T59" s="374">
        <f>COUNTIFS('2. Status Detalhe Campos FY24'!$H$7:$H$740,'1. Status Resumo FY24'!$P59,'2. Status Detalhe Campos FY24'!$C$7:$C$740,'1. Status Resumo FY24'!$G$55,'2. Status Detalhe Campos FY24'!$D$7:$D$740,"2. Campo")+COUNTIFS('2. Status Detalhe Campos FY24'!$H$7:$H$740,'1. Status Resumo FY24'!$P59,'2. Status Detalhe Campos FY24'!$C$7:$C$740,'1. Status Resumo FY24'!$H$55,'2. Status Detalhe Campos FY24'!$D$7:$D$740,"2. Campo")</f>
        <v>12</v>
      </c>
      <c r="U59" s="374">
        <f>COUNTIFS('2. Status Detalhe Campos FY24'!$G$7:$G$740,'1. Status Resumo FY24'!$P59,'2. Status Detalhe Campos FY24'!$C$7:$C$740,'1. Status Resumo FY24'!$G$55,'2. Status Detalhe Campos FY24'!$D$7:$D$740,"2. Campo")+COUNTIFS('2. Status Detalhe Campos FY24'!$G$7:$G$740,'1. Status Resumo FY24'!$P59,'2. Status Detalhe Campos FY24'!$C$7:$C$740,'1. Status Resumo FY24'!$H$55,'2. Status Detalhe Campos FY24'!$D$7:$D$740,"2. Campo")</f>
        <v>12</v>
      </c>
      <c r="V59" s="374">
        <f t="shared" ref="V59:V85" si="6">U59-T59</f>
        <v>0</v>
      </c>
      <c r="X59" s="535" t="s">
        <v>2451</v>
      </c>
      <c r="Y59" s="536"/>
      <c r="Z59" s="536"/>
      <c r="AA59" s="536"/>
      <c r="AB59" s="536"/>
      <c r="AC59" s="536"/>
      <c r="AD59" s="536"/>
      <c r="AE59" s="536"/>
      <c r="AF59" s="537"/>
      <c r="AG59" s="163"/>
      <c r="AH59" s="116"/>
    </row>
    <row r="60" spans="1:34" ht="17.899999999999999" customHeight="1">
      <c r="A60" s="116"/>
      <c r="B60" s="121"/>
      <c r="P60" s="375" t="s">
        <v>2357</v>
      </c>
      <c r="Q60" s="376"/>
      <c r="R60" s="376"/>
      <c r="S60" s="376"/>
      <c r="T60" s="446">
        <f>COUNTIFS('2. Status Detalhe Campos FY24'!$H$7:$H$740,'1. Status Resumo FY24'!$P59,'2. Status Detalhe Campos FY24'!$C$7:$C$740,'1. Status Resumo FY24'!$G$55,'2. Status Detalhe Campos FY24'!$D$7:$D$740,"2. Campo",'2. Status Detalhe Campos FY24'!$U$7:$U$740,"*Plano anterior*")
+COUNTIFS('2. Status Detalhe Campos FY24'!$H$7:$H$740,'1. Status Resumo FY24'!$P59,'2. Status Detalhe Campos FY24'!$C$7:$C$740,'1. Status Resumo FY24'!$H$55,'2. Status Detalhe Campos FY24'!$D$7:$D$740,"2. Campo",'2. Status Detalhe Campos FY24'!$U$7:$U$740,"*Plano anterior*")</f>
        <v>12</v>
      </c>
      <c r="U60" s="446">
        <f>COUNTIFS('2. Status Detalhe Campos FY24'!$G$7:$G$740,'1. Status Resumo FY24'!$P59,'2. Status Detalhe Campos FY24'!$C$7:$C$740,'1. Status Resumo FY24'!$G$55,'2. Status Detalhe Campos FY24'!$D$7:$D$740,"2. Campo",'2. Status Detalhe Campos FY24'!$U$7:$U$740,"*Plano anterior*")
+COUNTIFS('2. Status Detalhe Campos FY24'!$G$7:$G$740,'1. Status Resumo FY24'!$P59,'2. Status Detalhe Campos FY24'!$C$7:$C$740,'1. Status Resumo FY24'!$H$55,'2. Status Detalhe Campos FY24'!$D$7:$D$740,"2. Campo",'2. Status Detalhe Campos FY24'!$U$7:$U$740,"*Plano anterior*")</f>
        <v>12</v>
      </c>
      <c r="V60" s="446">
        <f t="shared" si="6"/>
        <v>0</v>
      </c>
      <c r="X60" s="538"/>
      <c r="Y60" s="539"/>
      <c r="Z60" s="539"/>
      <c r="AA60" s="539"/>
      <c r="AB60" s="539"/>
      <c r="AC60" s="539"/>
      <c r="AD60" s="539"/>
      <c r="AE60" s="539"/>
      <c r="AF60" s="540"/>
      <c r="AG60" s="163"/>
      <c r="AH60" s="116"/>
    </row>
    <row r="61" spans="1:34" ht="17.899999999999999" customHeight="1">
      <c r="A61" s="116"/>
      <c r="B61" s="121"/>
      <c r="P61" s="375" t="s">
        <v>2356</v>
      </c>
      <c r="Q61" s="376"/>
      <c r="R61" s="376"/>
      <c r="S61" s="376"/>
      <c r="T61" s="446">
        <f>COUNTIFS('2. Status Detalhe Campos FY24'!$H$7:$H$740,'1. Status Resumo FY24'!$P60,'2. Status Detalhe Campos FY24'!$C$7:$C$740,'1. Status Resumo FY24'!$G$55,'2. Status Detalhe Campos FY24'!$D$7:$D$740,"2. Campo",'2. Status Detalhe Campos FY24'!$U$7:$U$740,"*Novo Plano*")
+COUNTIFS('2. Status Detalhe Campos FY24'!$H$7:$H$740,'1. Status Resumo FY24'!$P60,'2. Status Detalhe Campos FY24'!$C$7:$C$740,'1. Status Resumo FY24'!$H$55,'2. Status Detalhe Campos FY24'!$D$7:$D$740,"2. Campo",'2. Status Detalhe Campos FY24'!$U$7:$U$740,"*Novo Plano*")</f>
        <v>0</v>
      </c>
      <c r="U61" s="446">
        <f>COUNTIFS('2. Status Detalhe Campos FY24'!$G$7:$G$740,'1. Status Resumo FY24'!$P59,'2. Status Detalhe Campos FY24'!$C$7:$C$740,'1. Status Resumo FY24'!$G$55,'2. Status Detalhe Campos FY24'!$D$7:$D$740,"2. Campo",'2. Status Detalhe Campos FY24'!$U$7:$U$740,"*Novo Plano*")
+COUNTIFS('2. Status Detalhe Campos FY24'!$G$7:$G$740,'1. Status Resumo FY24'!$P59,'2. Status Detalhe Campos FY24'!$C$7:$C$740,'1. Status Resumo FY24'!$H$55,'2. Status Detalhe Campos FY24'!$D$7:$D$740,"2. Campo",'2. Status Detalhe Campos FY24'!$U$7:$U$740,"*Novo Plano*")</f>
        <v>0</v>
      </c>
      <c r="V61" s="446">
        <f t="shared" si="6"/>
        <v>0</v>
      </c>
      <c r="X61" s="538"/>
      <c r="Y61" s="539"/>
      <c r="Z61" s="539"/>
      <c r="AA61" s="539"/>
      <c r="AB61" s="539"/>
      <c r="AC61" s="539"/>
      <c r="AD61" s="539"/>
      <c r="AE61" s="539"/>
      <c r="AF61" s="540"/>
      <c r="AG61" s="163"/>
      <c r="AH61" s="116"/>
    </row>
    <row r="62" spans="1:34">
      <c r="A62" s="116"/>
      <c r="B62" s="121"/>
      <c r="P62" s="373" t="s">
        <v>612</v>
      </c>
      <c r="Q62" s="373"/>
      <c r="R62" s="373"/>
      <c r="S62" s="373"/>
      <c r="T62" s="373">
        <f>COUNTIFS('2. Status Detalhe Campos FY24'!$H$7:$H$740,'1. Status Resumo FY24'!$P62,'2. Status Detalhe Campos FY24'!$C$7:$C$740,'1. Status Resumo FY24'!$G$55,'2. Status Detalhe Campos FY24'!$D$7:$D$740,"2. Campo")+COUNTIFS('2. Status Detalhe Campos FY24'!$H$7:$H$740,'1. Status Resumo FY24'!$P62,'2. Status Detalhe Campos FY24'!$C$7:$C$740,'1. Status Resumo FY24'!$H$55,'2. Status Detalhe Campos FY24'!$D$7:$D$740,"2. Campo")</f>
        <v>192</v>
      </c>
      <c r="U62" s="373">
        <f>COUNTIFS('2. Status Detalhe Campos FY24'!$G$7:$G$740,'1. Status Resumo FY24'!$P62,'2. Status Detalhe Campos FY24'!$C$7:$C$740,'1. Status Resumo FY24'!$G$55,'2. Status Detalhe Campos FY24'!$D$7:$D$740,"2. Campo")+COUNTIFS('2. Status Detalhe Campos FY24'!$G$7:$G$740,'1. Status Resumo FY24'!$P62,'2. Status Detalhe Campos FY24'!$C$7:$C$740,'1. Status Resumo FY24'!$H$55,'2. Status Detalhe Campos FY24'!$D$7:$D$740,"2. Campo")</f>
        <v>192</v>
      </c>
      <c r="V62" s="373">
        <f t="shared" si="6"/>
        <v>0</v>
      </c>
      <c r="X62" s="538"/>
      <c r="Y62" s="539"/>
      <c r="Z62" s="539"/>
      <c r="AA62" s="539"/>
      <c r="AB62" s="539"/>
      <c r="AC62" s="539"/>
      <c r="AD62" s="539"/>
      <c r="AE62" s="539"/>
      <c r="AF62" s="540"/>
      <c r="AG62" s="163"/>
      <c r="AH62" s="116"/>
    </row>
    <row r="63" spans="1:34">
      <c r="A63" s="116"/>
      <c r="B63" s="121"/>
      <c r="P63" s="375" t="s">
        <v>2357</v>
      </c>
      <c r="Q63" s="376"/>
      <c r="R63" s="376"/>
      <c r="S63" s="376"/>
      <c r="T63" s="446">
        <f>COUNTIFS('2. Status Detalhe Campos FY24'!$H$7:$H$740,'1. Status Resumo FY24'!$P62,'2. Status Detalhe Campos FY24'!$C$7:$C$740,'1. Status Resumo FY24'!$G$55,'2. Status Detalhe Campos FY24'!$D$7:$D$740,"2. Campo",'2. Status Detalhe Campos FY24'!$U$7:$U$740,"*Plano anterior*")
+COUNTIFS('2. Status Detalhe Campos FY24'!$H$7:$H$740,'1. Status Resumo FY24'!$P62,'2. Status Detalhe Campos FY24'!$C$7:$C$740,'1. Status Resumo FY24'!$H$55,'2. Status Detalhe Campos FY24'!$D$7:$D$740,"2. Campo",'2. Status Detalhe Campos FY24'!$U$7:$U$740,"*Plano anterior*")</f>
        <v>192</v>
      </c>
      <c r="U63" s="446">
        <f>COUNTIFS('2. Status Detalhe Campos FY24'!$G$7:$G$740,'1. Status Resumo FY24'!$P62,'2. Status Detalhe Campos FY24'!$C$7:$C$740,'1. Status Resumo FY24'!$G$55,'2. Status Detalhe Campos FY24'!$D$7:$D$740,"2. Campo",'2. Status Detalhe Campos FY24'!$U$7:$U$740,"*Plano anterior*")
+COUNTIFS('2. Status Detalhe Campos FY24'!$G$7:$G$740,'1. Status Resumo FY24'!$P62,'2. Status Detalhe Campos FY24'!$C$7:$C$740,'1. Status Resumo FY24'!$H$55,'2. Status Detalhe Campos FY24'!$D$7:$D$740,"2. Campo",'2. Status Detalhe Campos FY24'!$U$7:$U$740,"*Plano anterior*")</f>
        <v>192</v>
      </c>
      <c r="V63" s="446">
        <f t="shared" si="6"/>
        <v>0</v>
      </c>
      <c r="X63" s="538"/>
      <c r="Y63" s="539"/>
      <c r="Z63" s="539"/>
      <c r="AA63" s="539"/>
      <c r="AB63" s="539"/>
      <c r="AC63" s="539"/>
      <c r="AD63" s="539"/>
      <c r="AE63" s="539"/>
      <c r="AF63" s="540"/>
      <c r="AG63" s="163"/>
      <c r="AH63" s="116"/>
    </row>
    <row r="64" spans="1:34">
      <c r="A64" s="116"/>
      <c r="B64" s="121"/>
      <c r="P64" s="375" t="s">
        <v>2356</v>
      </c>
      <c r="Q64" s="378"/>
      <c r="R64" s="378"/>
      <c r="S64" s="378"/>
      <c r="T64" s="447">
        <f>COUNTIFS('2. Status Detalhe Campos FY24'!$H$7:$H$740,'1. Status Resumo FY24'!$P63,'2. Status Detalhe Campos FY24'!$C$7:$C$740,'1. Status Resumo FY24'!$G$55,'2. Status Detalhe Campos FY24'!$D$7:$D$740,"2. Campo",'2. Status Detalhe Campos FY24'!$U$7:$U$740,"*Novo Plano*")
+COUNTIFS('2. Status Detalhe Campos FY24'!$H$7:$H$740,'1. Status Resumo FY24'!$P63,'2. Status Detalhe Campos FY24'!$C$7:$C$740,'1. Status Resumo FY24'!$H$55,'2. Status Detalhe Campos FY24'!$D$7:$D$740,"2. Campo",'2. Status Detalhe Campos FY24'!$U$7:$U$740,"*Novo Plano*")</f>
        <v>0</v>
      </c>
      <c r="U64" s="447">
        <f>COUNTIFS('2. Status Detalhe Campos FY24'!$G$7:$G$740,'1. Status Resumo FY24'!$P62,'2. Status Detalhe Campos FY24'!$C$7:$C$740,'1. Status Resumo FY24'!$G$55,'2. Status Detalhe Campos FY24'!$D$7:$D$740,"2. Campo",'2. Status Detalhe Campos FY24'!$U$7:$U$740,"*Novo Plano*")
+COUNTIFS('2. Status Detalhe Campos FY24'!$G$7:$G$740,'1. Status Resumo FY24'!$P62,'2. Status Detalhe Campos FY24'!$C$7:$C$740,'1. Status Resumo FY24'!$H$55,'2. Status Detalhe Campos FY24'!$D$7:$D$740,"2. Campo",'2. Status Detalhe Campos FY24'!$U$7:$U$740,"*Novo Plano*")</f>
        <v>0</v>
      </c>
      <c r="V64" s="447">
        <f t="shared" si="6"/>
        <v>0</v>
      </c>
      <c r="X64" s="538"/>
      <c r="Y64" s="539"/>
      <c r="Z64" s="539"/>
      <c r="AA64" s="539"/>
      <c r="AB64" s="539"/>
      <c r="AC64" s="539"/>
      <c r="AD64" s="539"/>
      <c r="AE64" s="539"/>
      <c r="AF64" s="540"/>
      <c r="AG64" s="163"/>
      <c r="AH64" s="116"/>
    </row>
    <row r="65" spans="1:34">
      <c r="A65" s="116"/>
      <c r="B65" s="121"/>
      <c r="P65" s="373" t="s">
        <v>1840</v>
      </c>
      <c r="Q65" s="373"/>
      <c r="R65" s="373"/>
      <c r="S65" s="373"/>
      <c r="T65" s="373">
        <f>COUNTIFS('2. Status Detalhe Campos FY24'!$H$7:$H$740,'1. Status Resumo FY24'!$P65,'2. Status Detalhe Campos FY24'!$C$7:$C$740,'1. Status Resumo FY24'!$G$55,'2. Status Detalhe Campos FY24'!$D$7:$D$740,"2. Campo")+COUNTIFS('2. Status Detalhe Campos FY24'!$H$7:$H$740,'1. Status Resumo FY24'!$P65,'2. Status Detalhe Campos FY24'!$C$7:$C$740,'1. Status Resumo FY24'!$H$55,'2. Status Detalhe Campos FY24'!$D$7:$D$740,"2. Campo")</f>
        <v>2</v>
      </c>
      <c r="U65" s="373">
        <f>COUNTIFS('2. Status Detalhe Campos FY24'!$G$7:$G$740,'1. Status Resumo FY24'!$P65,'2. Status Detalhe Campos FY24'!$C$7:$C$740,'1. Status Resumo FY24'!$G$55,'2. Status Detalhe Campos FY24'!$D$7:$D$740,"2. Campo")+COUNTIFS('2. Status Detalhe Campos FY24'!$G$7:$G$740,'1. Status Resumo FY24'!$P65,'2. Status Detalhe Campos FY24'!$C$7:$C$740,'1. Status Resumo FY24'!$H$55,'2. Status Detalhe Campos FY24'!$D$7:$D$740,"2. Campo")</f>
        <v>2</v>
      </c>
      <c r="V65" s="373">
        <f t="shared" si="6"/>
        <v>0</v>
      </c>
      <c r="X65" s="538"/>
      <c r="Y65" s="539"/>
      <c r="Z65" s="539"/>
      <c r="AA65" s="539"/>
      <c r="AB65" s="539"/>
      <c r="AC65" s="539"/>
      <c r="AD65" s="539"/>
      <c r="AE65" s="539"/>
      <c r="AF65" s="540"/>
      <c r="AG65" s="163"/>
      <c r="AH65" s="116"/>
    </row>
    <row r="66" spans="1:34">
      <c r="A66" s="116"/>
      <c r="B66" s="121"/>
      <c r="P66" s="375" t="s">
        <v>2357</v>
      </c>
      <c r="Q66" s="376"/>
      <c r="R66" s="376"/>
      <c r="S66" s="376"/>
      <c r="T66" s="446">
        <f>COUNTIFS('2. Status Detalhe Campos FY24'!$H$7:$H$740,'1. Status Resumo FY24'!$P65,'2. Status Detalhe Campos FY24'!$C$7:$C$740,'1. Status Resumo FY24'!$G$55,'2. Status Detalhe Campos FY24'!$D$7:$D$740,"2. Campo",'2. Status Detalhe Campos FY24'!$U$7:$U$740,"*Plano anterior*")
+COUNTIFS('2. Status Detalhe Campos FY24'!$H$7:$H$740,'1. Status Resumo FY24'!$P65,'2. Status Detalhe Campos FY24'!$C$7:$C$740,'1. Status Resumo FY24'!$H$55,'2. Status Detalhe Campos FY24'!$D$7:$D$740,"2. Campo",'2. Status Detalhe Campos FY24'!$U$7:$U$740,"*Plano anterior*")</f>
        <v>2</v>
      </c>
      <c r="U66" s="446">
        <f>COUNTIFS('2. Status Detalhe Campos FY24'!$G$7:$G$740,'1. Status Resumo FY24'!$P65,'2. Status Detalhe Campos FY24'!$C$7:$C$740,'1. Status Resumo FY24'!$G$55,'2. Status Detalhe Campos FY24'!$D$7:$D$740,"2. Campo",'2. Status Detalhe Campos FY24'!$U$7:$U$740,"*Plano anterior*")
+COUNTIFS('2. Status Detalhe Campos FY24'!$G$7:$G$740,'1. Status Resumo FY24'!$P65,'2. Status Detalhe Campos FY24'!$C$7:$C$740,'1. Status Resumo FY24'!$H$55,'2. Status Detalhe Campos FY24'!$D$7:$D$740,"2. Campo",'2. Status Detalhe Campos FY24'!$U$7:$U$740,"*Plano anterior*")</f>
        <v>2</v>
      </c>
      <c r="V66" s="446">
        <f t="shared" si="6"/>
        <v>0</v>
      </c>
      <c r="X66" s="538"/>
      <c r="Y66" s="539"/>
      <c r="Z66" s="539"/>
      <c r="AA66" s="539"/>
      <c r="AB66" s="539"/>
      <c r="AC66" s="539"/>
      <c r="AD66" s="539"/>
      <c r="AE66" s="539"/>
      <c r="AF66" s="540"/>
      <c r="AG66" s="163"/>
      <c r="AH66" s="116"/>
    </row>
    <row r="67" spans="1:34">
      <c r="A67" s="116"/>
      <c r="B67" s="121"/>
      <c r="P67" s="375" t="s">
        <v>2356</v>
      </c>
      <c r="Q67" s="378"/>
      <c r="R67" s="378"/>
      <c r="S67" s="378"/>
      <c r="T67" s="447">
        <f>COUNTIFS('2. Status Detalhe Campos FY24'!$H$7:$H$740,'1. Status Resumo FY24'!$P66,'2. Status Detalhe Campos FY24'!$C$7:$C$740,'1. Status Resumo FY24'!$G$55,'2. Status Detalhe Campos FY24'!$D$7:$D$740,"2. Campo",'2. Status Detalhe Campos FY24'!$U$7:$U$740,"*Novo Plano*")
+COUNTIFS('2. Status Detalhe Campos FY24'!$H$7:$H$740,'1. Status Resumo FY24'!$P66,'2. Status Detalhe Campos FY24'!$C$7:$C$740,'1. Status Resumo FY24'!$H$55,'2. Status Detalhe Campos FY24'!$D$7:$D$740,"2. Campo",'2. Status Detalhe Campos FY24'!$U$7:$U$740,"*Novo Plano*")</f>
        <v>0</v>
      </c>
      <c r="U67" s="447">
        <f>COUNTIFS('2. Status Detalhe Campos FY24'!$G$7:$G$740,'1. Status Resumo FY24'!$P65,'2. Status Detalhe Campos FY24'!$C$7:$C$740,'1. Status Resumo FY24'!$G$55,'2. Status Detalhe Campos FY24'!$D$7:$D$740,"2. Campo",'2. Status Detalhe Campos FY24'!$U$7:$U$740,"*Novo Plano*")
+COUNTIFS('2. Status Detalhe Campos FY24'!$G$7:$G$740,'1. Status Resumo FY24'!$P65,'2. Status Detalhe Campos FY24'!$C$7:$C$740,'1. Status Resumo FY24'!$H$55,'2. Status Detalhe Campos FY24'!$D$7:$D$740,"2. Campo",'2. Status Detalhe Campos FY24'!$U$7:$U$740,"*Novo Plano*")</f>
        <v>0</v>
      </c>
      <c r="V67" s="447">
        <f t="shared" si="6"/>
        <v>0</v>
      </c>
      <c r="X67" s="538"/>
      <c r="Y67" s="539"/>
      <c r="Z67" s="539"/>
      <c r="AA67" s="539"/>
      <c r="AB67" s="539"/>
      <c r="AC67" s="539"/>
      <c r="AD67" s="539"/>
      <c r="AE67" s="539"/>
      <c r="AF67" s="540"/>
      <c r="AG67" s="163"/>
      <c r="AH67" s="116"/>
    </row>
    <row r="68" spans="1:34">
      <c r="A68" s="116"/>
      <c r="B68" s="121"/>
      <c r="D68" s="544" t="str">
        <f>"# "&amp;U86</f>
        <v># 208</v>
      </c>
      <c r="E68" s="544"/>
      <c r="P68" s="373" t="s">
        <v>2319</v>
      </c>
      <c r="Q68" s="373"/>
      <c r="R68" s="373"/>
      <c r="S68" s="373"/>
      <c r="T68" s="373">
        <f>COUNTIFS('2. Status Detalhe Campos FY24'!$H$7:$H$740,'1. Status Resumo FY24'!$P68,'2. Status Detalhe Campos FY24'!$C$7:$C$740,'1. Status Resumo FY24'!$G$55,'2. Status Detalhe Campos FY24'!$D$7:$D$740,"2. Campo")+COUNTIFS('2. Status Detalhe Campos FY24'!$H$7:$H$740,'1. Status Resumo FY24'!$P68,'2. Status Detalhe Campos FY24'!$C$7:$C$740,'1. Status Resumo FY24'!$H$55,'2. Status Detalhe Campos FY24'!$D$7:$D$740,"2. Campo")</f>
        <v>0</v>
      </c>
      <c r="U68" s="373">
        <f>COUNTIFS('2. Status Detalhe Campos FY24'!$G$7:$G$740,'1. Status Resumo FY24'!$P68,'2. Status Detalhe Campos FY24'!$C$7:$C$740,'1. Status Resumo FY24'!$G$55,'2. Status Detalhe Campos FY24'!$D$7:$D$740,"2. Campo")+COUNTIFS('2. Status Detalhe Campos FY24'!$G$7:$G$740,'1. Status Resumo FY24'!$P68,'2. Status Detalhe Campos FY24'!$C$7:$C$740,'1. Status Resumo FY24'!$H$55,'2. Status Detalhe Campos FY24'!$D$7:$D$740,"2. Campo")</f>
        <v>0</v>
      </c>
      <c r="V68" s="373">
        <f t="shared" si="6"/>
        <v>0</v>
      </c>
      <c r="X68" s="538"/>
      <c r="Y68" s="539"/>
      <c r="Z68" s="539"/>
      <c r="AA68" s="539"/>
      <c r="AB68" s="539"/>
      <c r="AC68" s="539"/>
      <c r="AD68" s="539"/>
      <c r="AE68" s="539"/>
      <c r="AF68" s="540"/>
      <c r="AG68" s="163"/>
      <c r="AH68" s="116"/>
    </row>
    <row r="69" spans="1:34">
      <c r="A69" s="116"/>
      <c r="B69" s="121"/>
      <c r="D69" s="544"/>
      <c r="E69" s="544"/>
      <c r="P69" s="375" t="s">
        <v>2357</v>
      </c>
      <c r="Q69" s="376"/>
      <c r="R69" s="376"/>
      <c r="S69" s="376"/>
      <c r="T69" s="446">
        <f>COUNTIFS('2. Status Detalhe Campos FY24'!$H$7:$H$740,'1. Status Resumo FY24'!$P68,'2. Status Detalhe Campos FY24'!$C$7:$C$740,'1. Status Resumo FY24'!$G$55,'2. Status Detalhe Campos FY24'!$D$7:$D$740,"2. Campo",'2. Status Detalhe Campos FY24'!$U$7:$U$740,"*Plano anterior*")
+COUNTIFS('2. Status Detalhe Campos FY24'!$H$7:$H$740,'1. Status Resumo FY24'!$P68,'2. Status Detalhe Campos FY24'!$C$7:$C$740,'1. Status Resumo FY24'!$H$55,'2. Status Detalhe Campos FY24'!$D$7:$D$740,"2. Campo",'2. Status Detalhe Campos FY24'!$U$7:$U$740,"*Plano anterior*")</f>
        <v>0</v>
      </c>
      <c r="U69" s="446">
        <f>COUNTIFS('2. Status Detalhe Campos FY24'!$G$7:$G$740,'1. Status Resumo FY24'!$P68,'2. Status Detalhe Campos FY24'!$C$7:$C$740,'1. Status Resumo FY24'!$G$55,'2. Status Detalhe Campos FY24'!$D$7:$D$740,"2. Campo",'2. Status Detalhe Campos FY24'!$U$7:$U$740,"*Plano anterior*")
+COUNTIFS('2. Status Detalhe Campos FY24'!$G$7:$G$740,'1. Status Resumo FY24'!$P68,'2. Status Detalhe Campos FY24'!$C$7:$C$740,'1. Status Resumo FY24'!$H$55,'2. Status Detalhe Campos FY24'!$D$7:$D$740,"2. Campo",'2. Status Detalhe Campos FY24'!$U$7:$U$740,"*Plano anterior*")</f>
        <v>0</v>
      </c>
      <c r="V69" s="446">
        <f t="shared" si="6"/>
        <v>0</v>
      </c>
      <c r="X69" s="538"/>
      <c r="Y69" s="539"/>
      <c r="Z69" s="539"/>
      <c r="AA69" s="539"/>
      <c r="AB69" s="539"/>
      <c r="AC69" s="539"/>
      <c r="AD69" s="539"/>
      <c r="AE69" s="539"/>
      <c r="AF69" s="540"/>
      <c r="AG69" s="163"/>
      <c r="AH69" s="116"/>
    </row>
    <row r="70" spans="1:34">
      <c r="A70" s="116"/>
      <c r="B70" s="121"/>
      <c r="D70" s="544"/>
      <c r="E70" s="544"/>
      <c r="P70" s="375" t="s">
        <v>2356</v>
      </c>
      <c r="Q70" s="378"/>
      <c r="R70" s="378"/>
      <c r="S70" s="378"/>
      <c r="T70" s="447">
        <f>COUNTIFS('2. Status Detalhe Campos FY24'!$H$7:$H$740,'1. Status Resumo FY24'!$P69,'2. Status Detalhe Campos FY24'!$C$7:$C$740,'1. Status Resumo FY24'!$G$55,'2. Status Detalhe Campos FY24'!$D$7:$D$740,"2. Campo",'2. Status Detalhe Campos FY24'!$U$7:$U$740,"*Novo Plano*")
+COUNTIFS('2. Status Detalhe Campos FY24'!$H$7:$H$740,'1. Status Resumo FY24'!$P69,'2. Status Detalhe Campos FY24'!$C$7:$C$740,'1. Status Resumo FY24'!$H$55,'2. Status Detalhe Campos FY24'!$D$7:$D$740,"2. Campo",'2. Status Detalhe Campos FY24'!$U$7:$U$740,"*Novo Plano*")</f>
        <v>0</v>
      </c>
      <c r="U70" s="447">
        <f>COUNTIFS('2. Status Detalhe Campos FY24'!$G$7:$G$740,'1. Status Resumo FY24'!$P68,'2. Status Detalhe Campos FY24'!$C$7:$C$740,'1. Status Resumo FY24'!$G$55,'2. Status Detalhe Campos FY24'!$D$7:$D$740,"2. Campo",'2. Status Detalhe Campos FY24'!$U$7:$U$740,"*Novo Plano*")
+COUNTIFS('2. Status Detalhe Campos FY24'!$G$7:$G$740,'1. Status Resumo FY24'!$P68,'2. Status Detalhe Campos FY24'!$C$7:$C$740,'1. Status Resumo FY24'!$H$55,'2. Status Detalhe Campos FY24'!$D$7:$D$740,"2. Campo",'2. Status Detalhe Campos FY24'!$U$7:$U$740,"*Novo Plano*")</f>
        <v>0</v>
      </c>
      <c r="V70" s="447">
        <f t="shared" si="6"/>
        <v>0</v>
      </c>
      <c r="X70" s="538"/>
      <c r="Y70" s="539"/>
      <c r="Z70" s="539"/>
      <c r="AA70" s="539"/>
      <c r="AB70" s="539"/>
      <c r="AC70" s="539"/>
      <c r="AD70" s="539"/>
      <c r="AE70" s="539"/>
      <c r="AF70" s="540"/>
      <c r="AG70" s="163"/>
      <c r="AH70" s="116"/>
    </row>
    <row r="71" spans="1:34" ht="17.899999999999999" customHeight="1">
      <c r="A71" s="116"/>
      <c r="B71" s="121"/>
      <c r="D71" s="544"/>
      <c r="E71" s="544"/>
      <c r="P71" s="373" t="s">
        <v>613</v>
      </c>
      <c r="Q71" s="373"/>
      <c r="R71" s="373"/>
      <c r="S71" s="373"/>
      <c r="T71" s="373">
        <f>COUNTIFS('2. Status Detalhe Campos FY24'!$H$7:$H$740,'1. Status Resumo FY24'!$P71,'2. Status Detalhe Campos FY24'!$C$7:$C$740,'1. Status Resumo FY24'!$G$55,'2. Status Detalhe Campos FY24'!$D$7:$D$740,"2. Campo")+COUNTIFS('2. Status Detalhe Campos FY24'!$H$7:$H$740,'1. Status Resumo FY24'!$P71,'2. Status Detalhe Campos FY24'!$C$7:$C$740,'1. Status Resumo FY24'!$H$55,'2. Status Detalhe Campos FY24'!$D$7:$D$740,"2. Campo")</f>
        <v>0</v>
      </c>
      <c r="U71" s="373">
        <f>COUNTIFS('2. Status Detalhe Campos FY24'!$G$7:$G$740,'1. Status Resumo FY24'!$P71,'2. Status Detalhe Campos FY24'!$C$7:$C$740,'1. Status Resumo FY24'!$G$55,'2. Status Detalhe Campos FY24'!$D$7:$D$740,"2. Campo")+COUNTIFS('2. Status Detalhe Campos FY24'!$G$7:$G$740,'1. Status Resumo FY24'!$P71,'2. Status Detalhe Campos FY24'!$C$7:$C$740,'1. Status Resumo FY24'!$H$55,'2. Status Detalhe Campos FY24'!$D$7:$D$740,"2. Campo")</f>
        <v>0</v>
      </c>
      <c r="V71" s="373">
        <f t="shared" si="6"/>
        <v>0</v>
      </c>
      <c r="X71" s="538"/>
      <c r="Y71" s="539"/>
      <c r="Z71" s="539"/>
      <c r="AA71" s="539"/>
      <c r="AB71" s="539"/>
      <c r="AC71" s="539"/>
      <c r="AD71" s="539"/>
      <c r="AE71" s="539"/>
      <c r="AF71" s="540"/>
      <c r="AG71" s="163"/>
      <c r="AH71" s="116"/>
    </row>
    <row r="72" spans="1:34" ht="17.899999999999999" customHeight="1">
      <c r="A72" s="116"/>
      <c r="B72" s="121"/>
      <c r="D72" s="544"/>
      <c r="E72" s="544"/>
      <c r="P72" s="375" t="s">
        <v>2357</v>
      </c>
      <c r="Q72" s="376"/>
      <c r="R72" s="376"/>
      <c r="S72" s="376"/>
      <c r="T72" s="446">
        <f>COUNTIFS('2. Status Detalhe Campos FY24'!$H$7:$H$740,'1. Status Resumo FY24'!$P71,'2. Status Detalhe Campos FY24'!$C$7:$C$740,'1. Status Resumo FY24'!$G$55,'2. Status Detalhe Campos FY24'!$D$7:$D$740,"2. Campo",'2. Status Detalhe Campos FY24'!$U$7:$U$740,"*Plano anterior*")
+COUNTIFS('2. Status Detalhe Campos FY24'!$H$7:$H$740,'1. Status Resumo FY24'!$P71,'2. Status Detalhe Campos FY24'!$C$7:$C$740,'1. Status Resumo FY24'!$H$55,'2. Status Detalhe Campos FY24'!$D$7:$D$740,"2. Campo",'2. Status Detalhe Campos FY24'!$U$7:$U$740,"*Plano anterior*")</f>
        <v>0</v>
      </c>
      <c r="U72" s="446">
        <f>COUNTIFS('2. Status Detalhe Campos FY24'!$G$7:$G$740,'1. Status Resumo FY24'!$P71,'2. Status Detalhe Campos FY24'!$C$7:$C$740,'1. Status Resumo FY24'!$G$55,'2. Status Detalhe Campos FY24'!$D$7:$D$740,"2. Campo",'2. Status Detalhe Campos FY24'!$U$7:$U$740,"*Plano anterior*")
+COUNTIFS('2. Status Detalhe Campos FY24'!$G$7:$G$740,'1. Status Resumo FY24'!$P71,'2. Status Detalhe Campos FY24'!$C$7:$C$740,'1. Status Resumo FY24'!$H$55,'2. Status Detalhe Campos FY24'!$D$7:$D$740,"2. Campo",'2. Status Detalhe Campos FY24'!$U$7:$U$740,"*Plano anterior*")</f>
        <v>0</v>
      </c>
      <c r="V72" s="446">
        <f t="shared" si="6"/>
        <v>0</v>
      </c>
      <c r="X72" s="538"/>
      <c r="Y72" s="539"/>
      <c r="Z72" s="539"/>
      <c r="AA72" s="539"/>
      <c r="AB72" s="539"/>
      <c r="AC72" s="539"/>
      <c r="AD72" s="539"/>
      <c r="AE72" s="539"/>
      <c r="AF72" s="540"/>
      <c r="AG72" s="163"/>
      <c r="AH72" s="116"/>
    </row>
    <row r="73" spans="1:34" ht="17.899999999999999" customHeight="1">
      <c r="A73" s="116"/>
      <c r="B73" s="121"/>
      <c r="D73" s="544"/>
      <c r="E73" s="544"/>
      <c r="P73" s="375" t="s">
        <v>2356</v>
      </c>
      <c r="Q73" s="378"/>
      <c r="R73" s="378"/>
      <c r="S73" s="378"/>
      <c r="T73" s="447">
        <f>COUNTIFS('2. Status Detalhe Campos FY24'!$H$7:$H$740,'1. Status Resumo FY24'!$P72,'2. Status Detalhe Campos FY24'!$C$7:$C$740,'1. Status Resumo FY24'!$G$55,'2. Status Detalhe Campos FY24'!$D$7:$D$740,"2. Campo",'2. Status Detalhe Campos FY24'!$U$7:$U$740,"*Novo Plano*")
+COUNTIFS('2. Status Detalhe Campos FY24'!$H$7:$H$740,'1. Status Resumo FY24'!$P72,'2. Status Detalhe Campos FY24'!$C$7:$C$740,'1. Status Resumo FY24'!$H$55,'2. Status Detalhe Campos FY24'!$D$7:$D$740,"2. Campo",'2. Status Detalhe Campos FY24'!$U$7:$U$740,"*Novo Plano*")</f>
        <v>0</v>
      </c>
      <c r="U73" s="447">
        <f>COUNTIFS('2. Status Detalhe Campos FY24'!$G$7:$G$740,'1. Status Resumo FY24'!$P71,'2. Status Detalhe Campos FY24'!$C$7:$C$740,'1. Status Resumo FY24'!$G$55,'2. Status Detalhe Campos FY24'!$D$7:$D$740,"2. Campo",'2. Status Detalhe Campos FY24'!$U$7:$U$740,"*Novo Plano*")
+COUNTIFS('2. Status Detalhe Campos FY24'!$G$7:$G$740,'1. Status Resumo FY24'!$P71,'2. Status Detalhe Campos FY24'!$C$7:$C$740,'1. Status Resumo FY24'!$H$55,'2. Status Detalhe Campos FY24'!$D$7:$D$740,"2. Campo",'2. Status Detalhe Campos FY24'!$U$7:$U$740,"*Novo Plano*")</f>
        <v>0</v>
      </c>
      <c r="V73" s="447">
        <f t="shared" si="6"/>
        <v>0</v>
      </c>
      <c r="X73" s="538"/>
      <c r="Y73" s="539"/>
      <c r="Z73" s="539"/>
      <c r="AA73" s="539"/>
      <c r="AB73" s="539"/>
      <c r="AC73" s="539"/>
      <c r="AD73" s="539"/>
      <c r="AE73" s="539"/>
      <c r="AF73" s="540"/>
      <c r="AG73" s="163"/>
      <c r="AH73" s="116"/>
    </row>
    <row r="74" spans="1:34" ht="17.899999999999999" customHeight="1">
      <c r="A74" s="116"/>
      <c r="B74" s="121"/>
      <c r="D74" s="544"/>
      <c r="E74" s="544"/>
      <c r="P74" s="373" t="s">
        <v>614</v>
      </c>
      <c r="Q74" s="373"/>
      <c r="R74" s="373"/>
      <c r="S74" s="373"/>
      <c r="T74" s="373">
        <f>COUNTIFS('2. Status Detalhe Campos FY24'!$H$7:$H$740,'1. Status Resumo FY24'!$P74,'2. Status Detalhe Campos FY24'!$C$7:$C$740,'1. Status Resumo FY24'!$G$55,'2. Status Detalhe Campos FY24'!$D$7:$D$740,"2. Campo")+COUNTIFS('2. Status Detalhe Campos FY24'!$H$7:$H$740,'1. Status Resumo FY24'!$P74,'2. Status Detalhe Campos FY24'!$C$7:$C$740,'1. Status Resumo FY24'!$H$55,'2. Status Detalhe Campos FY24'!$D$7:$D$740,"2. Campo")</f>
        <v>2</v>
      </c>
      <c r="U74" s="373">
        <f>COUNTIFS('2. Status Detalhe Campos FY24'!$G$7:$G$740,'1. Status Resumo FY24'!$P74,'2. Status Detalhe Campos FY24'!$C$7:$C$740,'1. Status Resumo FY24'!$G$55,'2. Status Detalhe Campos FY24'!$D$7:$D$740,"2. Campo")+COUNTIFS('2. Status Detalhe Campos FY24'!$G$7:$G$740,'1. Status Resumo FY24'!$P74,'2. Status Detalhe Campos FY24'!$C$7:$C$740,'1. Status Resumo FY24'!$H$55,'2. Status Detalhe Campos FY24'!$D$7:$D$740,"2. Campo")</f>
        <v>2</v>
      </c>
      <c r="V74" s="373">
        <f t="shared" si="6"/>
        <v>0</v>
      </c>
      <c r="X74" s="538"/>
      <c r="Y74" s="539"/>
      <c r="Z74" s="539"/>
      <c r="AA74" s="539"/>
      <c r="AB74" s="539"/>
      <c r="AC74" s="539"/>
      <c r="AD74" s="539"/>
      <c r="AE74" s="539"/>
      <c r="AF74" s="540"/>
      <c r="AG74" s="163"/>
      <c r="AH74" s="116"/>
    </row>
    <row r="75" spans="1:34" ht="17.899999999999999" customHeight="1">
      <c r="A75" s="116"/>
      <c r="B75" s="121"/>
      <c r="D75" s="371"/>
      <c r="E75" s="371"/>
      <c r="P75" s="375" t="s">
        <v>2357</v>
      </c>
      <c r="Q75" s="376"/>
      <c r="R75" s="376"/>
      <c r="S75" s="376"/>
      <c r="T75" s="446">
        <f>COUNTIFS('2. Status Detalhe Campos FY24'!$H$7:$H$740,'1. Status Resumo FY24'!$P74,'2. Status Detalhe Campos FY24'!$C$7:$C$740,'1. Status Resumo FY24'!$G$55,'2. Status Detalhe Campos FY24'!$D$7:$D$740,"2. Campo",'2. Status Detalhe Campos FY24'!$U$7:$U$740,"*Plano anterior*")
+COUNTIFS('2. Status Detalhe Campos FY24'!$H$7:$H$740,'1. Status Resumo FY24'!$P74,'2. Status Detalhe Campos FY24'!$C$7:$C$740,'1. Status Resumo FY24'!$H$55,'2. Status Detalhe Campos FY24'!$D$7:$D$740,"2. Campo",'2. Status Detalhe Campos FY24'!$U$7:$U$740,"*Plano anterior*")</f>
        <v>2</v>
      </c>
      <c r="U75" s="446">
        <f>COUNTIFS('2. Status Detalhe Campos FY24'!$G$7:$G$740,'1. Status Resumo FY24'!$P74,'2. Status Detalhe Campos FY24'!$C$7:$C$740,'1. Status Resumo FY24'!$G$55,'2. Status Detalhe Campos FY24'!$D$7:$D$740,"2. Campo",'2. Status Detalhe Campos FY24'!$U$7:$U$740,"*Plano anterior*")
+COUNTIFS('2. Status Detalhe Campos FY24'!$G$7:$G$740,'1. Status Resumo FY24'!$P74,'2. Status Detalhe Campos FY24'!$C$7:$C$740,'1. Status Resumo FY24'!$H$55,'2. Status Detalhe Campos FY24'!$D$7:$D$740,"2. Campo",'2. Status Detalhe Campos FY24'!$U$7:$U$740,"*Plano anterior*")</f>
        <v>2</v>
      </c>
      <c r="V75" s="446">
        <f t="shared" si="6"/>
        <v>0</v>
      </c>
      <c r="X75" s="538"/>
      <c r="Y75" s="539"/>
      <c r="Z75" s="539"/>
      <c r="AA75" s="539"/>
      <c r="AB75" s="539"/>
      <c r="AC75" s="539"/>
      <c r="AD75" s="539"/>
      <c r="AE75" s="539"/>
      <c r="AF75" s="540"/>
      <c r="AG75" s="163"/>
      <c r="AH75" s="116"/>
    </row>
    <row r="76" spans="1:34" ht="17.899999999999999" customHeight="1">
      <c r="A76" s="116"/>
      <c r="B76" s="121"/>
      <c r="D76" s="371"/>
      <c r="E76" s="371"/>
      <c r="P76" s="375" t="s">
        <v>2356</v>
      </c>
      <c r="Q76" s="378"/>
      <c r="R76" s="378"/>
      <c r="S76" s="378"/>
      <c r="T76" s="447">
        <f>COUNTIFS('2. Status Detalhe Campos FY24'!$H$7:$H$740,'1. Status Resumo FY24'!$P75,'2. Status Detalhe Campos FY24'!$C$7:$C$740,'1. Status Resumo FY24'!$G$55,'2. Status Detalhe Campos FY24'!$D$7:$D$740,"2. Campo",'2. Status Detalhe Campos FY24'!$U$7:$U$740,"*Novo Plano*")
+COUNTIFS('2. Status Detalhe Campos FY24'!$H$7:$H$740,'1. Status Resumo FY24'!$P75,'2. Status Detalhe Campos FY24'!$C$7:$C$740,'1. Status Resumo FY24'!$H$55,'2. Status Detalhe Campos FY24'!$D$7:$D$740,"2. Campo",'2. Status Detalhe Campos FY24'!$U$7:$U$740,"*Novo Plano*")</f>
        <v>0</v>
      </c>
      <c r="U76" s="447">
        <f>COUNTIFS('2. Status Detalhe Campos FY24'!$G$7:$G$740,'1. Status Resumo FY24'!$P74,'2. Status Detalhe Campos FY24'!$C$7:$C$740,'1. Status Resumo FY24'!$G$55,'2. Status Detalhe Campos FY24'!$D$7:$D$740,"2. Campo",'2. Status Detalhe Campos FY24'!$U$7:$U$740,"*Novo Plano*")
+COUNTIFS('2. Status Detalhe Campos FY24'!$G$7:$G$740,'1. Status Resumo FY24'!$P74,'2. Status Detalhe Campos FY24'!$C$7:$C$740,'1. Status Resumo FY24'!$H$55,'2. Status Detalhe Campos FY24'!$D$7:$D$740,"2. Campo",'2. Status Detalhe Campos FY24'!$U$7:$U$740,"*Novo Plano*")</f>
        <v>0</v>
      </c>
      <c r="V76" s="447">
        <f t="shared" si="6"/>
        <v>0</v>
      </c>
      <c r="X76" s="538"/>
      <c r="Y76" s="539"/>
      <c r="Z76" s="539"/>
      <c r="AA76" s="539"/>
      <c r="AB76" s="539"/>
      <c r="AC76" s="539"/>
      <c r="AD76" s="539"/>
      <c r="AE76" s="539"/>
      <c r="AF76" s="540"/>
      <c r="AG76" s="163"/>
      <c r="AH76" s="116"/>
    </row>
    <row r="77" spans="1:34">
      <c r="A77" s="116"/>
      <c r="B77" s="121"/>
      <c r="P77" s="373" t="s">
        <v>615</v>
      </c>
      <c r="Q77" s="373"/>
      <c r="R77" s="373" t="s">
        <v>616</v>
      </c>
      <c r="S77" s="373"/>
      <c r="T77" s="373">
        <f>COUNTIFS('2. Status Detalhe Campos FY24'!$H$7:$H$740,'1. Status Resumo FY24'!$P77,'2. Status Detalhe Campos FY24'!$C$7:$C$740,'1. Status Resumo FY24'!$G$55,'2. Status Detalhe Campos FY24'!$D$7:$D$740,"2. Campo")+COUNTIFS('2. Status Detalhe Campos FY24'!$H$7:$H$740,'1. Status Resumo FY24'!$P77,'2. Status Detalhe Campos FY24'!$C$7:$C$740,'1. Status Resumo FY24'!$H$55,'2. Status Detalhe Campos FY24'!$D$7:$D$740,"2. Campo")</f>
        <v>0</v>
      </c>
      <c r="U77" s="373">
        <f>COUNTIFS('2. Status Detalhe Campos FY24'!$G$7:$G$740,'1. Status Resumo FY24'!$P77,'2. Status Detalhe Campos FY24'!$C$7:$C$740,'1. Status Resumo FY24'!$G$55,'2. Status Detalhe Campos FY24'!$D$7:$D$740,"2. Campo")+COUNTIFS('2. Status Detalhe Campos FY24'!$G$7:$G$740,'1. Status Resumo FY24'!$P77,'2. Status Detalhe Campos FY24'!$C$7:$C$740,'1. Status Resumo FY24'!$H$55,'2. Status Detalhe Campos FY24'!$D$7:$D$740,"2. Campo")</f>
        <v>0</v>
      </c>
      <c r="V77" s="373">
        <f t="shared" si="6"/>
        <v>0</v>
      </c>
      <c r="X77" s="538"/>
      <c r="Y77" s="539"/>
      <c r="Z77" s="539"/>
      <c r="AA77" s="539"/>
      <c r="AB77" s="539"/>
      <c r="AC77" s="539"/>
      <c r="AD77" s="539"/>
      <c r="AE77" s="539"/>
      <c r="AF77" s="540"/>
      <c r="AG77" s="163"/>
      <c r="AH77" s="116"/>
    </row>
    <row r="78" spans="1:34">
      <c r="A78" s="116"/>
      <c r="B78" s="121"/>
      <c r="P78" s="375" t="s">
        <v>2357</v>
      </c>
      <c r="Q78" s="376"/>
      <c r="R78" s="376"/>
      <c r="S78" s="376"/>
      <c r="T78" s="446">
        <f>COUNTIFS('2. Status Detalhe Campos FY24'!$H$7:$H$740,'1. Status Resumo FY24'!$P77,'2. Status Detalhe Campos FY24'!$C$7:$C$740,'1. Status Resumo FY24'!$G$55,'2. Status Detalhe Campos FY24'!$D$7:$D$740,"2. Campo",'2. Status Detalhe Campos FY24'!$U$7:$U$740,"*Plano anterior*")
+COUNTIFS('2. Status Detalhe Campos FY24'!$H$7:$H$740,'1. Status Resumo FY24'!$P77,'2. Status Detalhe Campos FY24'!$C$7:$C$740,'1. Status Resumo FY24'!$H$55,'2. Status Detalhe Campos FY24'!$D$7:$D$740,"2. Campo",'2. Status Detalhe Campos FY24'!$U$7:$U$740,"*Plano anterior*")</f>
        <v>0</v>
      </c>
      <c r="U78" s="446">
        <f>COUNTIFS('2. Status Detalhe Campos FY24'!$G$7:$G$740,'1. Status Resumo FY24'!$P77,'2. Status Detalhe Campos FY24'!$C$7:$C$740,'1. Status Resumo FY24'!$G$55,'2. Status Detalhe Campos FY24'!$D$7:$D$740,"2. Campo",'2. Status Detalhe Campos FY24'!$U$7:$U$740,"*Plano anterior*")
+COUNTIFS('2. Status Detalhe Campos FY24'!$G$7:$G$740,'1. Status Resumo FY24'!$P77,'2. Status Detalhe Campos FY24'!$C$7:$C$740,'1. Status Resumo FY24'!$H$55,'2. Status Detalhe Campos FY24'!$D$7:$D$740,"2. Campo",'2. Status Detalhe Campos FY24'!$U$7:$U$740,"*Plano anterior*")</f>
        <v>0</v>
      </c>
      <c r="V78" s="446">
        <f t="shared" si="6"/>
        <v>0</v>
      </c>
      <c r="X78" s="538"/>
      <c r="Y78" s="539"/>
      <c r="Z78" s="539"/>
      <c r="AA78" s="539"/>
      <c r="AB78" s="539"/>
      <c r="AC78" s="539"/>
      <c r="AD78" s="539"/>
      <c r="AE78" s="539"/>
      <c r="AF78" s="540"/>
      <c r="AG78" s="163"/>
      <c r="AH78" s="116"/>
    </row>
    <row r="79" spans="1:34">
      <c r="A79" s="116"/>
      <c r="B79" s="121"/>
      <c r="P79" s="375" t="s">
        <v>2356</v>
      </c>
      <c r="Q79" s="378"/>
      <c r="R79" s="378"/>
      <c r="S79" s="378"/>
      <c r="T79" s="447">
        <f>COUNTIFS('2. Status Detalhe Campos FY24'!$H$7:$H$740,'1. Status Resumo FY24'!$P78,'2. Status Detalhe Campos FY24'!$C$7:$C$740,'1. Status Resumo FY24'!$G$55,'2. Status Detalhe Campos FY24'!$D$7:$D$740,"2. Campo",'2. Status Detalhe Campos FY24'!$U$7:$U$740,"*Novo Plano*")
+COUNTIFS('2. Status Detalhe Campos FY24'!$H$7:$H$740,'1. Status Resumo FY24'!$P78,'2. Status Detalhe Campos FY24'!$C$7:$C$740,'1. Status Resumo FY24'!$H$55,'2. Status Detalhe Campos FY24'!$D$7:$D$740,"2. Campo",'2. Status Detalhe Campos FY24'!$U$7:$U$740,"*Novo Plano*")</f>
        <v>0</v>
      </c>
      <c r="U79" s="447">
        <f>COUNTIFS('2. Status Detalhe Campos FY24'!$G$7:$G$740,'1. Status Resumo FY24'!$P77,'2. Status Detalhe Campos FY24'!$C$7:$C$740,'1. Status Resumo FY24'!$G$55,'2. Status Detalhe Campos FY24'!$D$7:$D$740,"2. Campo",'2. Status Detalhe Campos FY24'!$U$7:$U$740,"*Novo Plano*")
+COUNTIFS('2. Status Detalhe Campos FY24'!$G$7:$G$740,'1. Status Resumo FY24'!$P77,'2. Status Detalhe Campos FY24'!$C$7:$C$740,'1. Status Resumo FY24'!$H$55,'2. Status Detalhe Campos FY24'!$D$7:$D$740,"2. Campo",'2. Status Detalhe Campos FY24'!$U$7:$U$740,"*Novo Plano*")</f>
        <v>0</v>
      </c>
      <c r="V79" s="447">
        <f t="shared" si="6"/>
        <v>0</v>
      </c>
      <c r="X79" s="538"/>
      <c r="Y79" s="539"/>
      <c r="Z79" s="539"/>
      <c r="AA79" s="539"/>
      <c r="AB79" s="539"/>
      <c r="AC79" s="539"/>
      <c r="AD79" s="539"/>
      <c r="AE79" s="539"/>
      <c r="AF79" s="540"/>
      <c r="AG79" s="163"/>
      <c r="AH79" s="116"/>
    </row>
    <row r="80" spans="1:34">
      <c r="A80" s="116"/>
      <c r="B80" s="121"/>
      <c r="P80" s="373" t="s">
        <v>2320</v>
      </c>
      <c r="Q80" s="373"/>
      <c r="R80" s="373"/>
      <c r="S80" s="373"/>
      <c r="T80" s="373">
        <f>COUNTIFS('2. Status Detalhe Campos FY24'!$H$7:$H$740,'1. Status Resumo FY24'!$P80,'2. Status Detalhe Campos FY24'!$C$7:$C$740,'1. Status Resumo FY24'!$G$55,'2. Status Detalhe Campos FY24'!$D$7:$D$740,"2. Campo")+COUNTIFS('2. Status Detalhe Campos FY24'!$H$7:$H$740,'1. Status Resumo FY24'!$P80,'2. Status Detalhe Campos FY24'!$C$7:$C$740,'1. Status Resumo FY24'!$H$55,'2. Status Detalhe Campos FY24'!$D$7:$D$740,"2. Campo")</f>
        <v>0</v>
      </c>
      <c r="U80" s="373">
        <f>COUNTIFS('2. Status Detalhe Campos FY24'!$G$7:$G$740,'1. Status Resumo FY24'!$P80,'2. Status Detalhe Campos FY24'!$C$7:$C$740,'1. Status Resumo FY24'!$G$55,'2. Status Detalhe Campos FY24'!$D$7:$D$740,"2. Campo")+COUNTIFS('2. Status Detalhe Campos FY24'!$G$7:$G$740,'1. Status Resumo FY24'!$P80,'2. Status Detalhe Campos FY24'!$C$7:$C$740,'1. Status Resumo FY24'!$H$55,'2. Status Detalhe Campos FY24'!$D$7:$D$740,"2. Campo")</f>
        <v>0</v>
      </c>
      <c r="V80" s="373">
        <f t="shared" si="6"/>
        <v>0</v>
      </c>
      <c r="X80" s="538"/>
      <c r="Y80" s="539"/>
      <c r="Z80" s="539"/>
      <c r="AA80" s="539"/>
      <c r="AB80" s="539"/>
      <c r="AC80" s="539"/>
      <c r="AD80" s="539"/>
      <c r="AE80" s="539"/>
      <c r="AF80" s="540"/>
      <c r="AG80" s="163"/>
      <c r="AH80" s="116"/>
    </row>
    <row r="81" spans="1:34">
      <c r="A81" s="116"/>
      <c r="B81" s="121"/>
      <c r="P81" s="375" t="s">
        <v>2357</v>
      </c>
      <c r="Q81" s="376"/>
      <c r="R81" s="376"/>
      <c r="S81" s="376"/>
      <c r="T81" s="446">
        <f>COUNTIFS('2. Status Detalhe Campos FY24'!$H$7:$H$740,'1. Status Resumo FY24'!$P80,'2. Status Detalhe Campos FY24'!$C$7:$C$740,'1. Status Resumo FY24'!$G$55,'2. Status Detalhe Campos FY24'!$D$7:$D$740,"2. Campo",'2. Status Detalhe Campos FY24'!$U$7:$U$740,"*Plano anterior*")
+COUNTIFS('2. Status Detalhe Campos FY24'!$H$7:$H$740,'1. Status Resumo FY24'!$P80,'2. Status Detalhe Campos FY24'!$C$7:$C$740,'1. Status Resumo FY24'!$H$55,'2. Status Detalhe Campos FY24'!$D$7:$D$740,"2. Campo",'2. Status Detalhe Campos FY24'!$U$7:$U$740,"*Plano anterior*")</f>
        <v>0</v>
      </c>
      <c r="U81" s="446">
        <f>COUNTIFS('2. Status Detalhe Campos FY24'!$G$7:$G$740,'1. Status Resumo FY24'!$P80,'2. Status Detalhe Campos FY24'!$C$7:$C$740,'1. Status Resumo FY24'!$G$55,'2. Status Detalhe Campos FY24'!$D$7:$D$740,"2. Campo",'2. Status Detalhe Campos FY24'!$U$7:$U$740,"*Plano anterior*")
+COUNTIFS('2. Status Detalhe Campos FY24'!$G$7:$G$740,'1. Status Resumo FY24'!$P80,'2. Status Detalhe Campos FY24'!$C$7:$C$740,'1. Status Resumo FY24'!$H$55,'2. Status Detalhe Campos FY24'!$D$7:$D$740,"2. Campo",'2. Status Detalhe Campos FY24'!$U$7:$U$740,"*Plano anterior*")</f>
        <v>0</v>
      </c>
      <c r="V81" s="446">
        <f t="shared" si="6"/>
        <v>0</v>
      </c>
      <c r="X81" s="538"/>
      <c r="Y81" s="539"/>
      <c r="Z81" s="539"/>
      <c r="AA81" s="539"/>
      <c r="AB81" s="539"/>
      <c r="AC81" s="539"/>
      <c r="AD81" s="539"/>
      <c r="AE81" s="539"/>
      <c r="AF81" s="540"/>
      <c r="AG81" s="163"/>
      <c r="AH81" s="116"/>
    </row>
    <row r="82" spans="1:34">
      <c r="A82" s="116"/>
      <c r="B82" s="121"/>
      <c r="P82" s="375" t="s">
        <v>2356</v>
      </c>
      <c r="Q82" s="378"/>
      <c r="R82" s="378"/>
      <c r="S82" s="378"/>
      <c r="T82" s="447">
        <f>COUNTIFS('2. Status Detalhe Campos FY24'!$H$7:$H$740,'1. Status Resumo FY24'!$P81,'2. Status Detalhe Campos FY24'!$C$7:$C$740,'1. Status Resumo FY24'!$G$55,'2. Status Detalhe Campos FY24'!$D$7:$D$740,"2. Campo",'2. Status Detalhe Campos FY24'!$U$7:$U$740,"*Novo Plano*")
+COUNTIFS('2. Status Detalhe Campos FY24'!$H$7:$H$740,'1. Status Resumo FY24'!$P81,'2. Status Detalhe Campos FY24'!$C$7:$C$740,'1. Status Resumo FY24'!$H$55,'2. Status Detalhe Campos FY24'!$D$7:$D$740,"2. Campo",'2. Status Detalhe Campos FY24'!$U$7:$U$740,"*Novo Plano*")</f>
        <v>0</v>
      </c>
      <c r="U82" s="447">
        <f>COUNTIFS('2. Status Detalhe Campos FY24'!$G$7:$G$740,'1. Status Resumo FY24'!$P80,'2. Status Detalhe Campos FY24'!$C$7:$C$740,'1. Status Resumo FY24'!$G$55,'2. Status Detalhe Campos FY24'!$D$7:$D$740,"2. Campo",'2. Status Detalhe Campos FY24'!$U$7:$U$740,"*Novo Plano*")
+COUNTIFS('2. Status Detalhe Campos FY24'!$G$7:$G$740,'1. Status Resumo FY24'!$P80,'2. Status Detalhe Campos FY24'!$C$7:$C$740,'1. Status Resumo FY24'!$H$55,'2. Status Detalhe Campos FY24'!$D$7:$D$740,"2. Campo",'2. Status Detalhe Campos FY24'!$U$7:$U$740,"*Novo Plano*")</f>
        <v>0</v>
      </c>
      <c r="V82" s="447">
        <f t="shared" si="6"/>
        <v>0</v>
      </c>
      <c r="X82" s="538"/>
      <c r="Y82" s="539"/>
      <c r="Z82" s="539"/>
      <c r="AA82" s="539"/>
      <c r="AB82" s="539"/>
      <c r="AC82" s="539"/>
      <c r="AD82" s="539"/>
      <c r="AE82" s="539"/>
      <c r="AF82" s="540"/>
      <c r="AG82" s="163"/>
      <c r="AH82" s="116"/>
    </row>
    <row r="83" spans="1:34">
      <c r="A83" s="116"/>
      <c r="B83" s="121"/>
      <c r="P83" s="373" t="s">
        <v>28</v>
      </c>
      <c r="Q83" s="373"/>
      <c r="R83" s="373"/>
      <c r="S83" s="373"/>
      <c r="T83" s="373">
        <f>COUNTIFS('2. Status Detalhe Campos FY24'!$H$7:$H$740,'1. Status Resumo FY24'!$P83,'2. Status Detalhe Campos FY24'!$C$7:$C$740,'1. Status Resumo FY24'!$G$55,'2. Status Detalhe Campos FY24'!$D$7:$D$740,"2. Campo")+COUNTIFS('2. Status Detalhe Campos FY24'!$H$7:$H$740,'1. Status Resumo FY24'!$P83,'2. Status Detalhe Campos FY24'!$C$7:$C$740,'1. Status Resumo FY24'!$H$55,'2. Status Detalhe Campos FY24'!$D$7:$D$740,"2. Campo")</f>
        <v>0</v>
      </c>
      <c r="U83" s="373">
        <f>COUNTIFS('2. Status Detalhe Campos FY24'!$G$7:$G$740,'1. Status Resumo FY24'!$P83,'2. Status Detalhe Campos FY24'!$C$7:$C$740,'1. Status Resumo FY24'!$G$55,'2. Status Detalhe Campos FY24'!$D$7:$D$740,"2. Campo")+COUNTIFS('2. Status Detalhe Campos FY24'!$G$7:$G$740,'1. Status Resumo FY24'!$P83,'2. Status Detalhe Campos FY24'!$C$7:$C$740,'1. Status Resumo FY24'!$H$55,'2. Status Detalhe Campos FY24'!$D$7:$D$740,"2. Campo")</f>
        <v>0</v>
      </c>
      <c r="V83" s="373">
        <f t="shared" si="6"/>
        <v>0</v>
      </c>
      <c r="X83" s="538"/>
      <c r="Y83" s="539"/>
      <c r="Z83" s="539"/>
      <c r="AA83" s="539"/>
      <c r="AB83" s="539"/>
      <c r="AC83" s="539"/>
      <c r="AD83" s="539"/>
      <c r="AE83" s="539"/>
      <c r="AF83" s="540"/>
      <c r="AG83" s="163"/>
      <c r="AH83" s="116"/>
    </row>
    <row r="84" spans="1:34">
      <c r="A84" s="116"/>
      <c r="B84" s="121"/>
      <c r="P84" s="375" t="s">
        <v>2357</v>
      </c>
      <c r="Q84" s="376"/>
      <c r="R84" s="376"/>
      <c r="S84" s="376"/>
      <c r="T84" s="446">
        <f>COUNTIFS('2. Status Detalhe Campos FY24'!$H$7:$H$740,'1. Status Resumo FY24'!$P83,'2. Status Detalhe Campos FY24'!$C$7:$C$740,'1. Status Resumo FY24'!$G$55,'2. Status Detalhe Campos FY24'!$D$7:$D$740,"2. Campo",'2. Status Detalhe Campos FY24'!$U$7:$U$740,"*Plano anterior*")
+COUNTIFS('2. Status Detalhe Campos FY24'!$H$7:$H$740,'1. Status Resumo FY24'!$P83,'2. Status Detalhe Campos FY24'!$C$7:$C$740,'1. Status Resumo FY24'!$H$55,'2. Status Detalhe Campos FY24'!$D$7:$D$740,"2. Campo",'2. Status Detalhe Campos FY24'!$U$7:$U$740,"*Plano anterior*")</f>
        <v>0</v>
      </c>
      <c r="U84" s="446">
        <f>COUNTIFS('2. Status Detalhe Campos FY24'!$G$7:$G$740,'1. Status Resumo FY24'!$P83,'2. Status Detalhe Campos FY24'!$C$7:$C$740,'1. Status Resumo FY24'!$G$55,'2. Status Detalhe Campos FY24'!$D$7:$D$740,"2. Campo",'2. Status Detalhe Campos FY24'!$U$7:$U$740,"*Plano anterior*")
+COUNTIFS('2. Status Detalhe Campos FY24'!$G$7:$G$740,'1. Status Resumo FY24'!$P83,'2. Status Detalhe Campos FY24'!$C$7:$C$740,'1. Status Resumo FY24'!$H$55,'2. Status Detalhe Campos FY24'!$D$7:$D$740,"2. Campo",'2. Status Detalhe Campos FY24'!$U$7:$U$740,"*Plano anterior*")</f>
        <v>0</v>
      </c>
      <c r="V84" s="446">
        <f t="shared" si="6"/>
        <v>0</v>
      </c>
      <c r="X84" s="538"/>
      <c r="Y84" s="539"/>
      <c r="Z84" s="539"/>
      <c r="AA84" s="539"/>
      <c r="AB84" s="539"/>
      <c r="AC84" s="539"/>
      <c r="AD84" s="539"/>
      <c r="AE84" s="539"/>
      <c r="AF84" s="540"/>
      <c r="AG84" s="163"/>
      <c r="AH84" s="116"/>
    </row>
    <row r="85" spans="1:34">
      <c r="A85" s="116"/>
      <c r="B85" s="121"/>
      <c r="P85" s="379" t="s">
        <v>2356</v>
      </c>
      <c r="Q85" s="380"/>
      <c r="R85" s="380"/>
      <c r="S85" s="380"/>
      <c r="T85" s="448">
        <f>COUNTIFS('2. Status Detalhe Campos FY24'!$H$7:$H$740,'1. Status Resumo FY24'!$P84,'2. Status Detalhe Campos FY24'!$C$7:$C$740,'1. Status Resumo FY24'!$G$55,'2. Status Detalhe Campos FY24'!$D$7:$D$740,"2. Campo",'2. Status Detalhe Campos FY24'!$U$7:$U$740,"*Novo Plano*")
+COUNTIFS('2. Status Detalhe Campos FY24'!$H$7:$H$740,'1. Status Resumo FY24'!$P84,'2. Status Detalhe Campos FY24'!$C$7:$C$740,'1. Status Resumo FY24'!$H$55,'2. Status Detalhe Campos FY24'!$D$7:$D$740,"2. Campo",'2. Status Detalhe Campos FY24'!$U$7:$U$740,"*Novo Plano*")</f>
        <v>0</v>
      </c>
      <c r="U85" s="448">
        <f>COUNTIFS('2. Status Detalhe Campos FY24'!$G$7:$G$740,'1. Status Resumo FY24'!$P83,'2. Status Detalhe Campos FY24'!$C$7:$C$740,'1. Status Resumo FY24'!$G$55,'2. Status Detalhe Campos FY24'!$D$7:$D$740,"2. Campo",'2. Status Detalhe Campos FY24'!$U$7:$U$740,"*Novo Plano*")
+COUNTIFS('2. Status Detalhe Campos FY24'!$G$7:$G$740,'1. Status Resumo FY24'!$P83,'2. Status Detalhe Campos FY24'!$C$7:$C$740,'1. Status Resumo FY24'!$H$55,'2. Status Detalhe Campos FY24'!$D$7:$D$740,"2. Campo",'2. Status Detalhe Campos FY24'!$U$7:$U$740,"*Novo Plano*")</f>
        <v>0</v>
      </c>
      <c r="V85" s="448">
        <f t="shared" si="6"/>
        <v>0</v>
      </c>
      <c r="X85" s="538"/>
      <c r="Y85" s="539"/>
      <c r="Z85" s="539"/>
      <c r="AA85" s="539"/>
      <c r="AB85" s="539"/>
      <c r="AC85" s="539"/>
      <c r="AD85" s="539"/>
      <c r="AE85" s="539"/>
      <c r="AF85" s="540"/>
      <c r="AG85" s="163"/>
      <c r="AH85" s="116"/>
    </row>
    <row r="86" spans="1:34">
      <c r="A86" s="116"/>
      <c r="B86" s="121"/>
      <c r="P86" s="127" t="s">
        <v>2326</v>
      </c>
      <c r="T86" s="127">
        <f>+SUM(T59,T62,T65,T71,T74,T77,T80,T83,T68)</f>
        <v>208</v>
      </c>
      <c r="U86" s="127">
        <f>+SUM(U59,U62,U65,U71,U74,U77,U80,U83,U68)</f>
        <v>208</v>
      </c>
      <c r="V86" s="127">
        <f>+U86-T86</f>
        <v>0</v>
      </c>
      <c r="X86" s="538"/>
      <c r="Y86" s="539"/>
      <c r="Z86" s="539"/>
      <c r="AA86" s="539"/>
      <c r="AB86" s="539"/>
      <c r="AC86" s="539"/>
      <c r="AD86" s="539"/>
      <c r="AE86" s="539"/>
      <c r="AF86" s="540"/>
      <c r="AG86" s="163"/>
      <c r="AH86" s="116"/>
    </row>
    <row r="87" spans="1:34">
      <c r="A87" s="116"/>
      <c r="B87" s="121"/>
      <c r="P87" s="381" t="s">
        <v>2357</v>
      </c>
      <c r="T87" s="449">
        <f>+SUM(T60,T63,T66,T69,T72,T75,T78,T81,T84)</f>
        <v>208</v>
      </c>
      <c r="U87" s="449">
        <f>+SUM(U60,U63,U66,U69,U72,U75,U78,U81,U84)</f>
        <v>208</v>
      </c>
      <c r="V87" s="449">
        <f>+U87-T87</f>
        <v>0</v>
      </c>
      <c r="X87" s="538"/>
      <c r="Y87" s="539"/>
      <c r="Z87" s="539"/>
      <c r="AA87" s="539"/>
      <c r="AB87" s="539"/>
      <c r="AC87" s="539"/>
      <c r="AD87" s="539"/>
      <c r="AE87" s="539"/>
      <c r="AF87" s="540"/>
      <c r="AG87" s="163"/>
      <c r="AH87" s="116"/>
    </row>
    <row r="88" spans="1:34">
      <c r="A88" s="116"/>
      <c r="B88" s="121"/>
      <c r="P88" s="382" t="s">
        <v>2356</v>
      </c>
      <c r="Q88" s="130"/>
      <c r="R88" s="130"/>
      <c r="S88" s="130"/>
      <c r="T88" s="450">
        <f>+SUM(T61,T64,T67,T70,T73,T76,T79,T82,T85)</f>
        <v>0</v>
      </c>
      <c r="U88" s="450">
        <f>+SUM(U61,U64,U67,U70,U73,U76,U79,U82,U85)</f>
        <v>0</v>
      </c>
      <c r="V88" s="450">
        <f>+U88-T88</f>
        <v>0</v>
      </c>
      <c r="X88" s="538"/>
      <c r="Y88" s="539"/>
      <c r="Z88" s="539"/>
      <c r="AA88" s="539"/>
      <c r="AB88" s="539"/>
      <c r="AC88" s="539"/>
      <c r="AD88" s="539"/>
      <c r="AE88" s="539"/>
      <c r="AF88" s="540"/>
      <c r="AG88" s="163"/>
      <c r="AH88" s="116"/>
    </row>
    <row r="89" spans="1:34">
      <c r="A89" s="116"/>
      <c r="B89" s="121"/>
      <c r="T89" s="127"/>
      <c r="U89" s="127"/>
      <c r="X89" s="538"/>
      <c r="Y89" s="539"/>
      <c r="Z89" s="539"/>
      <c r="AA89" s="539"/>
      <c r="AB89" s="539"/>
      <c r="AC89" s="539"/>
      <c r="AD89" s="539"/>
      <c r="AE89" s="539"/>
      <c r="AF89" s="540"/>
      <c r="AG89" s="163"/>
      <c r="AH89" s="116"/>
    </row>
    <row r="90" spans="1:34">
      <c r="A90" s="116"/>
      <c r="B90" s="121"/>
      <c r="G90" s="129" t="s">
        <v>617</v>
      </c>
      <c r="H90" s="130"/>
      <c r="I90" s="130"/>
      <c r="J90" s="130"/>
      <c r="K90" s="130"/>
      <c r="L90" s="130"/>
      <c r="M90" s="130"/>
      <c r="P90" s="129" t="s">
        <v>618</v>
      </c>
      <c r="Q90" s="130"/>
      <c r="R90" s="130"/>
      <c r="S90" s="130"/>
      <c r="T90" s="130"/>
      <c r="U90" s="130"/>
      <c r="V90" s="130"/>
      <c r="X90" s="538"/>
      <c r="Y90" s="539"/>
      <c r="Z90" s="539"/>
      <c r="AA90" s="539"/>
      <c r="AB90" s="539"/>
      <c r="AC90" s="539"/>
      <c r="AD90" s="539"/>
      <c r="AE90" s="539"/>
      <c r="AF90" s="540"/>
      <c r="AG90" s="163"/>
      <c r="AH90" s="116"/>
    </row>
    <row r="91" spans="1:34">
      <c r="A91" s="116"/>
      <c r="B91" s="121"/>
      <c r="F91" s="159" t="s">
        <v>619</v>
      </c>
      <c r="G91" s="25" t="s">
        <v>620</v>
      </c>
      <c r="L91" s="161" t="s">
        <v>621</v>
      </c>
      <c r="O91" s="159" t="s">
        <v>619</v>
      </c>
      <c r="P91" s="25" t="s">
        <v>622</v>
      </c>
      <c r="T91" s="161" t="s">
        <v>621</v>
      </c>
      <c r="X91" s="538"/>
      <c r="Y91" s="539"/>
      <c r="Z91" s="539"/>
      <c r="AA91" s="539"/>
      <c r="AB91" s="539"/>
      <c r="AC91" s="539"/>
      <c r="AD91" s="539"/>
      <c r="AE91" s="539"/>
      <c r="AF91" s="540"/>
      <c r="AG91" s="163"/>
      <c r="AH91" s="116"/>
    </row>
    <row r="92" spans="1:34">
      <c r="A92" s="116"/>
      <c r="B92" s="121"/>
      <c r="F92" s="159" t="s">
        <v>619</v>
      </c>
      <c r="G92" s="25" t="s">
        <v>623</v>
      </c>
      <c r="L92" s="161" t="s">
        <v>621</v>
      </c>
      <c r="O92" s="159" t="s">
        <v>619</v>
      </c>
      <c r="P92" s="25" t="s">
        <v>624</v>
      </c>
      <c r="T92" s="161" t="s">
        <v>621</v>
      </c>
      <c r="X92" s="538"/>
      <c r="Y92" s="539"/>
      <c r="Z92" s="539"/>
      <c r="AA92" s="539"/>
      <c r="AB92" s="539"/>
      <c r="AC92" s="539"/>
      <c r="AD92" s="539"/>
      <c r="AE92" s="539"/>
      <c r="AF92" s="540"/>
      <c r="AG92" s="163"/>
      <c r="AH92" s="116"/>
    </row>
    <row r="93" spans="1:34">
      <c r="A93" s="116"/>
      <c r="B93" s="121"/>
      <c r="F93" s="159" t="s">
        <v>619</v>
      </c>
      <c r="G93" s="25" t="s">
        <v>625</v>
      </c>
      <c r="L93" s="161" t="s">
        <v>621</v>
      </c>
      <c r="O93" s="159" t="s">
        <v>619</v>
      </c>
      <c r="P93" s="25" t="s">
        <v>626</v>
      </c>
      <c r="T93" s="164" t="s">
        <v>627</v>
      </c>
      <c r="X93" s="538"/>
      <c r="Y93" s="539"/>
      <c r="Z93" s="539"/>
      <c r="AA93" s="539"/>
      <c r="AB93" s="539"/>
      <c r="AC93" s="539"/>
      <c r="AD93" s="539"/>
      <c r="AE93" s="539"/>
      <c r="AF93" s="540"/>
      <c r="AG93" s="163"/>
      <c r="AH93" s="116"/>
    </row>
    <row r="94" spans="1:34">
      <c r="A94" s="116"/>
      <c r="B94" s="121"/>
      <c r="F94" s="159" t="s">
        <v>619</v>
      </c>
      <c r="G94" s="25" t="s">
        <v>628</v>
      </c>
      <c r="L94" s="161" t="s">
        <v>621</v>
      </c>
      <c r="O94" s="159"/>
      <c r="T94" s="164"/>
      <c r="X94" s="538"/>
      <c r="Y94" s="539"/>
      <c r="Z94" s="539"/>
      <c r="AA94" s="539"/>
      <c r="AB94" s="539"/>
      <c r="AC94" s="539"/>
      <c r="AD94" s="539"/>
      <c r="AE94" s="539"/>
      <c r="AF94" s="540"/>
      <c r="AG94" s="163"/>
      <c r="AH94" s="116"/>
    </row>
    <row r="95" spans="1:34">
      <c r="A95" s="116"/>
      <c r="B95" s="121"/>
      <c r="F95" s="159" t="s">
        <v>619</v>
      </c>
      <c r="G95" s="25" t="s">
        <v>629</v>
      </c>
      <c r="L95" s="161" t="s">
        <v>621</v>
      </c>
      <c r="O95" s="159"/>
      <c r="T95" s="164"/>
      <c r="X95" s="538"/>
      <c r="Y95" s="539"/>
      <c r="Z95" s="539"/>
      <c r="AA95" s="539"/>
      <c r="AB95" s="539"/>
      <c r="AC95" s="539"/>
      <c r="AD95" s="539"/>
      <c r="AE95" s="539"/>
      <c r="AF95" s="540"/>
      <c r="AG95" s="163"/>
      <c r="AH95" s="116"/>
    </row>
    <row r="96" spans="1:34">
      <c r="A96" s="116"/>
      <c r="B96" s="121"/>
      <c r="F96" s="159" t="s">
        <v>619</v>
      </c>
      <c r="G96" s="25" t="s">
        <v>630</v>
      </c>
      <c r="L96" s="485" t="s">
        <v>1841</v>
      </c>
      <c r="O96" s="159"/>
      <c r="T96" s="161"/>
      <c r="X96" s="538"/>
      <c r="Y96" s="539"/>
      <c r="Z96" s="539"/>
      <c r="AA96" s="539"/>
      <c r="AB96" s="539"/>
      <c r="AC96" s="539"/>
      <c r="AD96" s="539"/>
      <c r="AE96" s="539"/>
      <c r="AF96" s="540"/>
      <c r="AG96" s="163"/>
      <c r="AH96" s="116"/>
    </row>
    <row r="97" spans="1:34">
      <c r="A97" s="116"/>
      <c r="B97" s="121"/>
      <c r="O97" s="159"/>
      <c r="X97" s="541"/>
      <c r="Y97" s="542"/>
      <c r="Z97" s="542"/>
      <c r="AA97" s="542"/>
      <c r="AB97" s="542"/>
      <c r="AC97" s="542"/>
      <c r="AD97" s="542"/>
      <c r="AE97" s="542"/>
      <c r="AF97" s="543"/>
      <c r="AG97" s="163"/>
      <c r="AH97" s="116"/>
    </row>
    <row r="98" spans="1:34">
      <c r="A98" s="116"/>
      <c r="B98" s="123"/>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16"/>
    </row>
    <row r="99" spans="1:34">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23">
      <c r="A100" s="116"/>
      <c r="B100" s="126" t="s">
        <v>2328</v>
      </c>
      <c r="C100" s="116"/>
      <c r="D100" s="116"/>
      <c r="E100" s="116"/>
      <c r="F100" s="116"/>
      <c r="G100" s="128" t="s">
        <v>181</v>
      </c>
      <c r="H100" s="128" t="s">
        <v>310</v>
      </c>
      <c r="I100" s="116"/>
      <c r="J100" s="116"/>
      <c r="K100" s="116"/>
      <c r="L100" s="116"/>
      <c r="M100" s="116"/>
      <c r="N100" s="116"/>
      <c r="O100" s="116"/>
      <c r="P100" s="116"/>
      <c r="Q100" s="484"/>
      <c r="R100" s="116"/>
      <c r="S100" s="116"/>
      <c r="T100" s="116"/>
      <c r="U100" s="116"/>
      <c r="V100" s="116"/>
      <c r="W100" s="116"/>
      <c r="X100" s="116"/>
      <c r="Y100" s="116"/>
      <c r="Z100" s="116"/>
      <c r="AA100" s="116"/>
      <c r="AB100" s="116"/>
      <c r="AC100" s="116"/>
      <c r="AD100" s="116"/>
      <c r="AE100" s="116"/>
      <c r="AF100" s="116"/>
      <c r="AG100" s="116"/>
      <c r="AH100" s="116"/>
    </row>
    <row r="101" spans="1:34" ht="5.1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16"/>
      <c r="B102" s="118"/>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20"/>
      <c r="AH102" s="116"/>
    </row>
    <row r="103" spans="1:34">
      <c r="A103" s="116"/>
      <c r="B103" s="121"/>
      <c r="C103" s="154" t="s">
        <v>606</v>
      </c>
      <c r="G103" s="154" t="s">
        <v>607</v>
      </c>
      <c r="P103" s="129" t="s">
        <v>608</v>
      </c>
      <c r="Q103" s="130"/>
      <c r="R103" s="129"/>
      <c r="S103" s="130"/>
      <c r="T103" s="131">
        <f>T58</f>
        <v>45716</v>
      </c>
      <c r="U103" s="131">
        <f>U58</f>
        <v>45723</v>
      </c>
      <c r="V103" s="132" t="s">
        <v>609</v>
      </c>
      <c r="X103" s="155" t="s">
        <v>610</v>
      </c>
      <c r="AG103" s="122"/>
      <c r="AH103" s="116"/>
    </row>
    <row r="104" spans="1:34" ht="17.899999999999999" customHeight="1">
      <c r="A104" s="116"/>
      <c r="B104" s="121"/>
      <c r="P104" s="374" t="s">
        <v>611</v>
      </c>
      <c r="Q104" s="374"/>
      <c r="R104" s="374"/>
      <c r="S104" s="374"/>
      <c r="T104" s="374">
        <f>COUNTIFS('2. Status Detalhe Campos FY24'!$H$7:$H$740,'1. Status Resumo FY24'!$P104,'2. Status Detalhe Campos FY24'!$C$7:$C$740,'1. Status Resumo FY24'!$G$100,'2. Status Detalhe Campos FY24'!$D$7:$D$740,"2. Campo")+COUNTIFS('2. Status Detalhe Campos FY24'!$H$7:$H$740,'1. Status Resumo FY24'!$P104,'2. Status Detalhe Campos FY24'!$C$7:$C$740,'1. Status Resumo FY24'!$H$100,'2. Status Detalhe Campos FY24'!$D$7:$D$740,"2. Campo")</f>
        <v>16</v>
      </c>
      <c r="U104" s="374">
        <f>COUNTIFS('2. Status Detalhe Campos FY24'!$G$7:$G$740,'1. Status Resumo FY24'!$P104,'2. Status Detalhe Campos FY24'!$C$7:$C$740,'1. Status Resumo FY24'!$G$100,'2. Status Detalhe Campos FY24'!$D$7:$D$740,"2. Campo")+COUNTIFS('2. Status Detalhe Campos FY24'!$G$7:$G$740,'1. Status Resumo FY24'!$P104,'2. Status Detalhe Campos FY24'!$C$7:$C$740,'1. Status Resumo FY24'!$H$100,'2. Status Detalhe Campos FY24'!$D$7:$D$740,"2. Campo")</f>
        <v>16</v>
      </c>
      <c r="V104" s="374">
        <f t="shared" ref="V104:V130" si="7">U104-T104</f>
        <v>0</v>
      </c>
      <c r="W104" s="156"/>
      <c r="X104" s="547" t="s">
        <v>2450</v>
      </c>
      <c r="Y104" s="548"/>
      <c r="Z104" s="548"/>
      <c r="AA104" s="548"/>
      <c r="AB104" s="548"/>
      <c r="AC104" s="548"/>
      <c r="AD104" s="548"/>
      <c r="AE104" s="548"/>
      <c r="AF104" s="549"/>
      <c r="AG104" s="157" t="s">
        <v>631</v>
      </c>
      <c r="AH104" s="116"/>
    </row>
    <row r="105" spans="1:34" ht="17.899999999999999" customHeight="1">
      <c r="A105" s="116"/>
      <c r="B105" s="121"/>
      <c r="P105" s="375" t="s">
        <v>2366</v>
      </c>
      <c r="Q105" s="376"/>
      <c r="R105" s="376"/>
      <c r="S105" s="376"/>
      <c r="T105" s="446">
        <f>COUNTIFS('2. Status Detalhe Campos FY24'!$H$7:$H$740,'1. Status Resumo FY24'!$P104,'2. Status Detalhe Campos FY24'!$C$7:$C$740,'1. Status Resumo FY24'!$G$100,'2. Status Detalhe Campos FY24'!$D$7:$D$740,"2. Campo",'2. Status Detalhe Campos FY24'!$U$7:$U$740,"*Plano anterior*")
+COUNTIFS('2. Status Detalhe Campos FY24'!$H$7:$H$740,'1. Status Resumo FY24'!$P104,'2. Status Detalhe Campos FY24'!$C$7:$C$740,'1. Status Resumo FY24'!$H$100,'2. Status Detalhe Campos FY24'!$D$7:$D$740,"2. Campo",'2. Status Detalhe Campos FY24'!$U$7:$U$740,"*Plano anterior*")</f>
        <v>16</v>
      </c>
      <c r="U105" s="446">
        <f>COUNTIFS('2. Status Detalhe Campos FY24'!$G$7:$G$740,'1. Status Resumo FY24'!$P104,'2. Status Detalhe Campos FY24'!$C$7:$C$740,'1. Status Resumo FY24'!$G$100,'2. Status Detalhe Campos FY24'!$D$7:$D$740,"2. Campo",'2. Status Detalhe Campos FY24'!$U$7:$U$740,"*Plano anterior*")
+COUNTIFS('2. Status Detalhe Campos FY24'!$G$7:$G$740,'1. Status Resumo FY24'!$P104,'2. Status Detalhe Campos FY24'!$C$7:$C$740,'1. Status Resumo FY24'!$H$100,'2. Status Detalhe Campos FY24'!$D$7:$D$740,"2. Campo",'2. Status Detalhe Campos FY24'!$U$7:$U$740,"*Plano anterior*")</f>
        <v>16</v>
      </c>
      <c r="V105" s="446">
        <f t="shared" si="7"/>
        <v>0</v>
      </c>
      <c r="W105" s="156"/>
      <c r="X105" s="550"/>
      <c r="Y105" s="551"/>
      <c r="Z105" s="551"/>
      <c r="AA105" s="551"/>
      <c r="AB105" s="551"/>
      <c r="AC105" s="551"/>
      <c r="AD105" s="551"/>
      <c r="AE105" s="551"/>
      <c r="AF105" s="552"/>
      <c r="AG105" s="157"/>
      <c r="AH105" s="116"/>
    </row>
    <row r="106" spans="1:34" ht="17.25" customHeight="1">
      <c r="A106" s="116"/>
      <c r="B106" s="121"/>
      <c r="P106" s="375" t="s">
        <v>2356</v>
      </c>
      <c r="Q106" s="376"/>
      <c r="R106" s="376"/>
      <c r="S106" s="376"/>
      <c r="T106" s="446">
        <f>COUNTIFS('2. Status Detalhe Campos FY24'!$H$7:$H$740,'1. Status Resumo FY24'!$P104,'2. Status Detalhe Campos FY24'!$C$7:$C$740,'1. Status Resumo FY24'!$G$100,'2. Status Detalhe Campos FY24'!$D$7:$D$740,"2. Campo",'2. Status Detalhe Campos FY24'!$U$7:$U$740,"*Novo Plano*")
+COUNTIFS('2. Status Detalhe Campos FY24'!$H$7:$H$740,'1. Status Resumo FY24'!$P104,'2. Status Detalhe Campos FY24'!$C$7:$C$740,'1. Status Resumo FY24'!$H$100,'2. Status Detalhe Campos FY24'!$D$7:$D$740,"2. Campo",'2. Status Detalhe Campos FY24'!$U$7:$U$740,"*Novo Plano*")</f>
        <v>0</v>
      </c>
      <c r="U106" s="446">
        <f>COUNTIFS('2. Status Detalhe Campos FY24'!$G$7:$G$740,'1. Status Resumo FY24'!$P104,'2. Status Detalhe Campos FY24'!$C$7:$C$740,'1. Status Resumo FY24'!$G$100,'2. Status Detalhe Campos FY24'!$D$7:$D$740,"2. Campo",'2. Status Detalhe Campos FY24'!$U$7:$U$740,"*Novo Plano*")
+COUNTIFS('2. Status Detalhe Campos FY24'!$G$7:$G$740,'1. Status Resumo FY24'!$P104,'2. Status Detalhe Campos FY24'!$C$7:$C$740,'1. Status Resumo FY24'!$H$100,'2. Status Detalhe Campos FY24'!$D$7:$D$740,"2. Campo",'2. Status Detalhe Campos FY24'!$U$7:$U$740,"*Novo Plano*")</f>
        <v>0</v>
      </c>
      <c r="V106" s="446">
        <f t="shared" si="7"/>
        <v>0</v>
      </c>
      <c r="W106" s="156"/>
      <c r="X106" s="550"/>
      <c r="Y106" s="551"/>
      <c r="Z106" s="551"/>
      <c r="AA106" s="551"/>
      <c r="AB106" s="551"/>
      <c r="AC106" s="551"/>
      <c r="AD106" s="551"/>
      <c r="AE106" s="551"/>
      <c r="AF106" s="552"/>
      <c r="AG106" s="157"/>
      <c r="AH106" s="116"/>
    </row>
    <row r="107" spans="1:34">
      <c r="A107" s="116"/>
      <c r="B107" s="121"/>
      <c r="P107" s="373" t="s">
        <v>612</v>
      </c>
      <c r="Q107" s="373"/>
      <c r="R107" s="373"/>
      <c r="S107" s="373"/>
      <c r="T107" s="373">
        <f>COUNTIFS('2. Status Detalhe Campos FY24'!$H$7:$H$740,'1. Status Resumo FY24'!$P107,'2. Status Detalhe Campos FY24'!$C$7:$C$740,'1. Status Resumo FY24'!$G$100,'2. Status Detalhe Campos FY24'!$D$7:$D$740,"2. Campo")+COUNTIFS('2. Status Detalhe Campos FY24'!$H$7:$H$740,'1. Status Resumo FY24'!$P107,'2. Status Detalhe Campos FY24'!$C$7:$C$740,'1. Status Resumo FY24'!$H$100,'2. Status Detalhe Campos FY24'!$D$7:$D$740,"2. Campo")</f>
        <v>222</v>
      </c>
      <c r="U107" s="373">
        <f>COUNTIFS('2. Status Detalhe Campos FY24'!$G$7:$G$740,'1. Status Resumo FY24'!$P107,'2. Status Detalhe Campos FY24'!$C$7:$C$740,'1. Status Resumo FY24'!$G$100,'2. Status Detalhe Campos FY24'!$D$7:$D$740,"2. Campo")+COUNTIFS('2. Status Detalhe Campos FY24'!$G$7:$G$740,'1. Status Resumo FY24'!$P107,'2. Status Detalhe Campos FY24'!$C$7:$C$740,'1. Status Resumo FY24'!$H$100,'2. Status Detalhe Campos FY24'!$D$7:$D$740,"2. Campo")</f>
        <v>222</v>
      </c>
      <c r="V107" s="373">
        <f t="shared" si="7"/>
        <v>0</v>
      </c>
      <c r="W107" s="156"/>
      <c r="X107" s="550"/>
      <c r="Y107" s="551"/>
      <c r="Z107" s="551"/>
      <c r="AA107" s="551"/>
      <c r="AB107" s="551"/>
      <c r="AC107" s="551"/>
      <c r="AD107" s="551"/>
      <c r="AE107" s="551"/>
      <c r="AF107" s="552"/>
      <c r="AG107" s="157"/>
      <c r="AH107" s="116"/>
    </row>
    <row r="108" spans="1:34">
      <c r="A108" s="116"/>
      <c r="B108" s="121"/>
      <c r="P108" s="375" t="s">
        <v>2366</v>
      </c>
      <c r="Q108" s="376"/>
      <c r="R108" s="376"/>
      <c r="S108" s="376"/>
      <c r="T108" s="446">
        <f>COUNTIFS('2. Status Detalhe Campos FY24'!$H$7:$H$740,'1. Status Resumo FY24'!$P107,'2. Status Detalhe Campos FY24'!$C$7:$C$740,'1. Status Resumo FY24'!$G$100,'2. Status Detalhe Campos FY24'!$D$7:$D$740,"2. Campo",'2. Status Detalhe Campos FY24'!$U$7:$U$740,"*Plano anterior*")
+COUNTIFS('2. Status Detalhe Campos FY24'!$H$7:$H$740,'1. Status Resumo FY24'!$P107,'2. Status Detalhe Campos FY24'!$C$7:$C$740,'1. Status Resumo FY24'!$H$100,'2. Status Detalhe Campos FY24'!$D$7:$D$740,"2. Campo",'2. Status Detalhe Campos FY24'!$U$7:$U$740,"*Plano anterior*")</f>
        <v>197</v>
      </c>
      <c r="U108" s="446">
        <f>COUNTIFS('2. Status Detalhe Campos FY24'!$G$7:$G$740,'1. Status Resumo FY24'!$P107,'2. Status Detalhe Campos FY24'!$C$7:$C$740,'1. Status Resumo FY24'!$G$100,'2. Status Detalhe Campos FY24'!$D$7:$D$740,"2. Campo",'2. Status Detalhe Campos FY24'!$U$7:$U$740,"*Plano anterior*")
+COUNTIFS('2. Status Detalhe Campos FY24'!$G$7:$G$740,'1. Status Resumo FY24'!$P107,'2. Status Detalhe Campos FY24'!$C$7:$C$740,'1. Status Resumo FY24'!$H$100,'2. Status Detalhe Campos FY24'!$D$7:$D$740,"2. Campo",'2. Status Detalhe Campos FY24'!$U$7:$U$740,"*Plano anterior*")</f>
        <v>197</v>
      </c>
      <c r="V108" s="446">
        <f t="shared" si="7"/>
        <v>0</v>
      </c>
      <c r="W108" s="156"/>
      <c r="X108" s="550"/>
      <c r="Y108" s="551"/>
      <c r="Z108" s="551"/>
      <c r="AA108" s="551"/>
      <c r="AB108" s="551"/>
      <c r="AC108" s="551"/>
      <c r="AD108" s="551"/>
      <c r="AE108" s="551"/>
      <c r="AF108" s="552"/>
      <c r="AG108" s="157"/>
      <c r="AH108" s="116"/>
    </row>
    <row r="109" spans="1:34">
      <c r="A109" s="116"/>
      <c r="B109" s="121"/>
      <c r="P109" s="375" t="s">
        <v>2356</v>
      </c>
      <c r="Q109" s="378"/>
      <c r="R109" s="378"/>
      <c r="S109" s="378"/>
      <c r="T109" s="447">
        <f>COUNTIFS('2. Status Detalhe Campos FY24'!$H$7:$H$740,'1. Status Resumo FY24'!$P107,'2. Status Detalhe Campos FY24'!$C$7:$C$740,'1. Status Resumo FY24'!$G$100,'2. Status Detalhe Campos FY24'!$D$7:$D$740,"2. Campo",'2. Status Detalhe Campos FY24'!$U$7:$U$740,"*Novo Plano*")
+COUNTIFS('2. Status Detalhe Campos FY24'!$H$7:$H$740,'1. Status Resumo FY24'!$P107,'2. Status Detalhe Campos FY24'!$C$7:$C$740,'1. Status Resumo FY24'!$H$100,'2. Status Detalhe Campos FY24'!$D$7:$D$740,"2. Campo",'2. Status Detalhe Campos FY24'!$U$7:$U$740,"*Novo Plano*")</f>
        <v>25</v>
      </c>
      <c r="U109" s="447">
        <f>COUNTIFS('2. Status Detalhe Campos FY24'!$G$7:$G$740,'1. Status Resumo FY24'!$P107,'2. Status Detalhe Campos FY24'!$C$7:$C$740,'1. Status Resumo FY24'!$G$100,'2. Status Detalhe Campos FY24'!$D$7:$D$740,"2. Campo",'2. Status Detalhe Campos FY24'!$U$7:$U$740,"*Novo Plano*")
+COUNTIFS('2. Status Detalhe Campos FY24'!$G$7:$G$740,'1. Status Resumo FY24'!$P107,'2. Status Detalhe Campos FY24'!$C$7:$C$740,'1. Status Resumo FY24'!$H$100,'2. Status Detalhe Campos FY24'!$D$7:$D$740,"2. Campo",'2. Status Detalhe Campos FY24'!$U$7:$U$740,"*Novo Plano*")</f>
        <v>25</v>
      </c>
      <c r="V109" s="447">
        <f t="shared" si="7"/>
        <v>0</v>
      </c>
      <c r="W109" s="156"/>
      <c r="X109" s="550"/>
      <c r="Y109" s="551"/>
      <c r="Z109" s="551"/>
      <c r="AA109" s="551"/>
      <c r="AB109" s="551"/>
      <c r="AC109" s="551"/>
      <c r="AD109" s="551"/>
      <c r="AE109" s="551"/>
      <c r="AF109" s="552"/>
      <c r="AG109" s="157"/>
      <c r="AH109" s="116"/>
    </row>
    <row r="110" spans="1:34">
      <c r="A110" s="116"/>
      <c r="B110" s="121"/>
      <c r="P110" s="373" t="s">
        <v>1840</v>
      </c>
      <c r="Q110" s="373"/>
      <c r="R110" s="373"/>
      <c r="S110" s="373"/>
      <c r="T110" s="373">
        <f>COUNTIFS('2. Status Detalhe Campos FY24'!$H$7:$H$740,'1. Status Resumo FY24'!$P110,'2. Status Detalhe Campos FY24'!$C$7:$C$740,'1. Status Resumo FY24'!$G$100,'2. Status Detalhe Campos FY24'!$D$7:$D$740,"2. Campo")+COUNTIFS('2. Status Detalhe Campos FY24'!$H$7:$H$740,'1. Status Resumo FY24'!$P110,'2. Status Detalhe Campos FY24'!$C$7:$C$740,'1. Status Resumo FY24'!$H$100,'2. Status Detalhe Campos FY24'!$D$7:$D$740,"2. Campo")</f>
        <v>5</v>
      </c>
      <c r="U110" s="373">
        <f>COUNTIFS('2. Status Detalhe Campos FY24'!$G$7:$G$740,'1. Status Resumo FY24'!$P110,'2. Status Detalhe Campos FY24'!$C$7:$C$740,'1. Status Resumo FY24'!$G$100,'2. Status Detalhe Campos FY24'!$D$7:$D$740,"2. Campo")+COUNTIFS('2. Status Detalhe Campos FY24'!$G$7:$G$740,'1. Status Resumo FY24'!$P110,'2. Status Detalhe Campos FY24'!$C$7:$C$740,'1. Status Resumo FY24'!$H$100,'2. Status Detalhe Campos FY24'!$D$7:$D$740,"2. Campo")</f>
        <v>5</v>
      </c>
      <c r="V110" s="373">
        <f t="shared" si="7"/>
        <v>0</v>
      </c>
      <c r="W110" s="156"/>
      <c r="X110" s="550"/>
      <c r="Y110" s="551"/>
      <c r="Z110" s="551"/>
      <c r="AA110" s="551"/>
      <c r="AB110" s="551"/>
      <c r="AC110" s="551"/>
      <c r="AD110" s="551"/>
      <c r="AE110" s="551"/>
      <c r="AF110" s="552"/>
      <c r="AG110" s="157"/>
      <c r="AH110" s="116"/>
    </row>
    <row r="111" spans="1:34">
      <c r="A111" s="116"/>
      <c r="B111" s="121"/>
      <c r="P111" s="375" t="s">
        <v>2366</v>
      </c>
      <c r="Q111" s="376"/>
      <c r="R111" s="376"/>
      <c r="S111" s="376"/>
      <c r="T111" s="446">
        <f>COUNTIFS('2. Status Detalhe Campos FY24'!$H$7:$H$740,'1. Status Resumo FY24'!$P110,'2. Status Detalhe Campos FY24'!$C$7:$C$740,'1. Status Resumo FY24'!$G$100,'2. Status Detalhe Campos FY24'!$D$7:$D$740,"2. Campo",'2. Status Detalhe Campos FY24'!$U$7:$U$740,"*Plano anterior*")
+COUNTIFS('2. Status Detalhe Campos FY24'!$H$7:$H$740,'1. Status Resumo FY24'!$P110,'2. Status Detalhe Campos FY24'!$C$7:$C$740,'1. Status Resumo FY24'!$H$100,'2. Status Detalhe Campos FY24'!$D$7:$D$740,"2. Campo",'2. Status Detalhe Campos FY24'!$U$7:$U$740,"*Plano anterior*")</f>
        <v>5</v>
      </c>
      <c r="U111" s="446">
        <f>COUNTIFS('2. Status Detalhe Campos FY24'!$G$7:$G$740,'1. Status Resumo FY24'!$P110,'2. Status Detalhe Campos FY24'!$C$7:$C$740,'1. Status Resumo FY24'!$G$100,'2. Status Detalhe Campos FY24'!$D$7:$D$740,"2. Campo",'2. Status Detalhe Campos FY24'!$U$7:$U$740,"*Plano anterior*")
+COUNTIFS('2. Status Detalhe Campos FY24'!$G$7:$G$740,'1. Status Resumo FY24'!$P110,'2. Status Detalhe Campos FY24'!$C$7:$C$740,'1. Status Resumo FY24'!$H$100,'2. Status Detalhe Campos FY24'!$D$7:$D$740,"2. Campo",'2. Status Detalhe Campos FY24'!$U$7:$U$740,"*Plano anterior*")</f>
        <v>5</v>
      </c>
      <c r="V111" s="446">
        <f t="shared" si="7"/>
        <v>0</v>
      </c>
      <c r="W111" s="156"/>
      <c r="X111" s="550"/>
      <c r="Y111" s="551"/>
      <c r="Z111" s="551"/>
      <c r="AA111" s="551"/>
      <c r="AB111" s="551"/>
      <c r="AC111" s="551"/>
      <c r="AD111" s="551"/>
      <c r="AE111" s="551"/>
      <c r="AF111" s="552"/>
      <c r="AG111" s="157"/>
      <c r="AH111" s="116"/>
    </row>
    <row r="112" spans="1:34">
      <c r="A112" s="116"/>
      <c r="B112" s="121"/>
      <c r="P112" s="375" t="s">
        <v>2356</v>
      </c>
      <c r="Q112" s="378"/>
      <c r="R112" s="378"/>
      <c r="S112" s="378"/>
      <c r="T112" s="447">
        <f>COUNTIFS('2. Status Detalhe Campos FY24'!$H$7:$H$740,'1. Status Resumo FY24'!$P110,'2. Status Detalhe Campos FY24'!$C$7:$C$740,'1. Status Resumo FY24'!$G$100,'2. Status Detalhe Campos FY24'!$D$7:$D$740,"2. Campo",'2. Status Detalhe Campos FY24'!$U$7:$U$740,"*Novo Plano*")
+COUNTIFS('2. Status Detalhe Campos FY24'!$H$7:$H$740,'1. Status Resumo FY24'!$P110,'2. Status Detalhe Campos FY24'!$C$7:$C$740,'1. Status Resumo FY24'!$H$100,'2. Status Detalhe Campos FY24'!$D$7:$D$740,"2. Campo",'2. Status Detalhe Campos FY24'!$U$7:$U$740,"*Novo Plano*")</f>
        <v>0</v>
      </c>
      <c r="U112" s="447">
        <f>COUNTIFS('2. Status Detalhe Campos FY24'!$G$7:$G$740,'1. Status Resumo FY24'!$P110,'2. Status Detalhe Campos FY24'!$C$7:$C$740,'1. Status Resumo FY24'!$G$100,'2. Status Detalhe Campos FY24'!$D$7:$D$740,"2. Campo",'2. Status Detalhe Campos FY24'!$U$7:$U$740,"*Novo Plano*")
+COUNTIFS('2. Status Detalhe Campos FY24'!$G$7:$G$740,'1. Status Resumo FY24'!$P110,'2. Status Detalhe Campos FY24'!$C$7:$C$740,'1. Status Resumo FY24'!$H$100,'2. Status Detalhe Campos FY24'!$D$7:$D$740,"2. Campo",'2. Status Detalhe Campos FY24'!$U$7:$U$740,"*Novo Plano*")</f>
        <v>0</v>
      </c>
      <c r="V112" s="447">
        <f t="shared" si="7"/>
        <v>0</v>
      </c>
      <c r="W112" s="156"/>
      <c r="X112" s="550"/>
      <c r="Y112" s="551"/>
      <c r="Z112" s="551"/>
      <c r="AA112" s="551"/>
      <c r="AB112" s="551"/>
      <c r="AC112" s="551"/>
      <c r="AD112" s="551"/>
      <c r="AE112" s="551"/>
      <c r="AF112" s="552"/>
      <c r="AG112" s="157"/>
      <c r="AH112" s="116"/>
    </row>
    <row r="113" spans="1:34" ht="18.75" customHeight="1">
      <c r="A113" s="116"/>
      <c r="B113" s="121"/>
      <c r="D113" s="427"/>
      <c r="E113" s="427"/>
      <c r="P113" s="373" t="s">
        <v>2319</v>
      </c>
      <c r="Q113" s="373"/>
      <c r="R113" s="373"/>
      <c r="S113" s="373"/>
      <c r="T113" s="373">
        <f>COUNTIFS('2. Status Detalhe Campos FY24'!$H$7:$H$740,'1. Status Resumo FY24'!$P113,'2. Status Detalhe Campos FY24'!$C$7:$C$740,'1. Status Resumo FY24'!$G$100,'2. Status Detalhe Campos FY24'!$D$7:$D$740,"2. Campo")+COUNTIFS('2. Status Detalhe Campos FY24'!$H$7:$H$740,'1. Status Resumo FY24'!$P113,'2. Status Detalhe Campos FY24'!$C$7:$C$740,'1. Status Resumo FY24'!$H$100,'2. Status Detalhe Campos FY24'!$D$7:$D$740,"2. Campo")</f>
        <v>0</v>
      </c>
      <c r="U113" s="373">
        <f>COUNTIFS('2. Status Detalhe Campos FY24'!$G$7:$G$740,'1. Status Resumo FY24'!$P113,'2. Status Detalhe Campos FY24'!$C$7:$C$740,'1. Status Resumo FY24'!$G$100,'2. Status Detalhe Campos FY24'!$D$7:$D$740,"2. Campo")+COUNTIFS('2. Status Detalhe Campos FY24'!$G$7:$G$740,'1. Status Resumo FY24'!$P113,'2. Status Detalhe Campos FY24'!$C$7:$C$740,'1. Status Resumo FY24'!$H$100,'2. Status Detalhe Campos FY24'!$D$7:$D$740,"2. Campo")</f>
        <v>0</v>
      </c>
      <c r="V113" s="373">
        <f t="shared" si="7"/>
        <v>0</v>
      </c>
      <c r="W113" s="156"/>
      <c r="X113" s="550"/>
      <c r="Y113" s="551"/>
      <c r="Z113" s="551"/>
      <c r="AA113" s="551"/>
      <c r="AB113" s="551"/>
      <c r="AC113" s="551"/>
      <c r="AD113" s="551"/>
      <c r="AE113" s="551"/>
      <c r="AF113" s="552"/>
      <c r="AG113" s="157"/>
      <c r="AH113" s="116"/>
    </row>
    <row r="114" spans="1:34" ht="18.75" customHeight="1">
      <c r="A114" s="116"/>
      <c r="B114" s="121"/>
      <c r="D114" s="427"/>
      <c r="E114" s="427"/>
      <c r="P114" s="375" t="s">
        <v>2366</v>
      </c>
      <c r="Q114" s="376"/>
      <c r="R114" s="376"/>
      <c r="S114" s="376"/>
      <c r="T114" s="446">
        <f>COUNTIFS('2. Status Detalhe Campos FY24'!$H$7:$H$740,'1. Status Resumo FY24'!$P113,'2. Status Detalhe Campos FY24'!$C$7:$C$740,'1. Status Resumo FY24'!$G$100,'2. Status Detalhe Campos FY24'!$D$7:$D$740,"2. Campo",'2. Status Detalhe Campos FY24'!$U$7:$U$740,"*Plano anterior*")
+COUNTIFS('2. Status Detalhe Campos FY24'!$H$7:$H$740,'1. Status Resumo FY24'!$P113,'2. Status Detalhe Campos FY24'!$C$7:$C$740,'1. Status Resumo FY24'!$H$100,'2. Status Detalhe Campos FY24'!$D$7:$D$740,"2. Campo",'2. Status Detalhe Campos FY24'!$U$7:$U$740,"*Plano anterior*")</f>
        <v>0</v>
      </c>
      <c r="U114" s="446">
        <f>COUNTIFS('2. Status Detalhe Campos FY24'!$G$7:$G$740,'1. Status Resumo FY24'!$P113,'2. Status Detalhe Campos FY24'!$C$7:$C$740,'1. Status Resumo FY24'!$G$100,'2. Status Detalhe Campos FY24'!$D$7:$D$740,"2. Campo",'2. Status Detalhe Campos FY24'!$U$7:$U$740,"*Plano anterior*")
+COUNTIFS('2. Status Detalhe Campos FY24'!$G$7:$G$740,'1. Status Resumo FY24'!$P113,'2. Status Detalhe Campos FY24'!$C$7:$C$740,'1. Status Resumo FY24'!$H$100,'2. Status Detalhe Campos FY24'!$D$7:$D$740,"2. Campo",'2. Status Detalhe Campos FY24'!$U$7:$U$740,"*Plano anterior*")</f>
        <v>0</v>
      </c>
      <c r="V114" s="446">
        <f t="shared" si="7"/>
        <v>0</v>
      </c>
      <c r="W114" s="156"/>
      <c r="X114" s="550"/>
      <c r="Y114" s="551"/>
      <c r="Z114" s="551"/>
      <c r="AA114" s="551"/>
      <c r="AB114" s="551"/>
      <c r="AC114" s="551"/>
      <c r="AD114" s="551"/>
      <c r="AE114" s="551"/>
      <c r="AF114" s="552"/>
      <c r="AG114" s="157"/>
      <c r="AH114" s="116"/>
    </row>
    <row r="115" spans="1:34" ht="18.75" customHeight="1">
      <c r="A115" s="116"/>
      <c r="B115" s="121"/>
      <c r="D115" s="427"/>
      <c r="E115" s="427"/>
      <c r="P115" s="375" t="s">
        <v>2356</v>
      </c>
      <c r="Q115" s="378"/>
      <c r="R115" s="378"/>
      <c r="S115" s="378"/>
      <c r="T115" s="447">
        <f>COUNTIFS('2. Status Detalhe Campos FY24'!$H$7:$H$740,'1. Status Resumo FY24'!$P113,'2. Status Detalhe Campos FY24'!$C$7:$C$740,'1. Status Resumo FY24'!$G$100,'2. Status Detalhe Campos FY24'!$D$7:$D$740,"2. Campo",'2. Status Detalhe Campos FY24'!$U$7:$U$740,"*Novo Plano*")
+COUNTIFS('2. Status Detalhe Campos FY24'!$H$7:$H$740,'1. Status Resumo FY24'!$P113,'2. Status Detalhe Campos FY24'!$C$7:$C$740,'1. Status Resumo FY24'!$H$100,'2. Status Detalhe Campos FY24'!$D$7:$D$740,"2. Campo",'2. Status Detalhe Campos FY24'!$U$7:$U$740,"*Novo Plano*")</f>
        <v>0</v>
      </c>
      <c r="U115" s="447">
        <f>COUNTIFS('2. Status Detalhe Campos FY24'!$G$7:$G$740,'1. Status Resumo FY24'!$P113,'2. Status Detalhe Campos FY24'!$C$7:$C$740,'1. Status Resumo FY24'!$G$100,'2. Status Detalhe Campos FY24'!$D$7:$D$740,"2. Campo",'2. Status Detalhe Campos FY24'!$U$7:$U$740,"*Novo Plano*")
+COUNTIFS('2. Status Detalhe Campos FY24'!$G$7:$G$740,'1. Status Resumo FY24'!$P113,'2. Status Detalhe Campos FY24'!$C$7:$C$740,'1. Status Resumo FY24'!$H$100,'2. Status Detalhe Campos FY24'!$D$7:$D$740,"2. Campo",'2. Status Detalhe Campos FY24'!$U$7:$U$740,"*Novo Plano*")</f>
        <v>0</v>
      </c>
      <c r="V115" s="447">
        <f t="shared" si="7"/>
        <v>0</v>
      </c>
      <c r="W115" s="156"/>
      <c r="X115" s="550"/>
      <c r="Y115" s="551"/>
      <c r="Z115" s="551"/>
      <c r="AA115" s="551"/>
      <c r="AB115" s="551"/>
      <c r="AC115" s="551"/>
      <c r="AD115" s="551"/>
      <c r="AE115" s="551"/>
      <c r="AF115" s="552"/>
      <c r="AG115" s="157"/>
      <c r="AH115" s="116"/>
    </row>
    <row r="116" spans="1:34" ht="17.899999999999999" customHeight="1">
      <c r="A116" s="116"/>
      <c r="B116" s="121"/>
      <c r="D116" s="534" t="str">
        <f>+"#"&amp;$U$131</f>
        <v>#302</v>
      </c>
      <c r="P116" s="373" t="s">
        <v>613</v>
      </c>
      <c r="Q116" s="373"/>
      <c r="R116" s="373"/>
      <c r="S116" s="373"/>
      <c r="T116" s="373">
        <f>COUNTIFS('2. Status Detalhe Campos FY24'!$H$7:$H$740,'1. Status Resumo FY24'!$P116,'2. Status Detalhe Campos FY24'!$C$7:$C$740,'1. Status Resumo FY24'!$G$100,'2. Status Detalhe Campos FY24'!$D$7:$D$740,"2. Campo")+COUNTIFS('2. Status Detalhe Campos FY24'!$H$7:$H$740,'1. Status Resumo FY24'!$P116,'2. Status Detalhe Campos FY24'!$C$7:$C$740,'1. Status Resumo FY24'!$H$100,'2. Status Detalhe Campos FY24'!$D$7:$D$740,"2. Campo")</f>
        <v>0</v>
      </c>
      <c r="U116" s="373">
        <f>COUNTIFS('2. Status Detalhe Campos FY24'!$G$7:$G$740,'1. Status Resumo FY24'!$P116,'2. Status Detalhe Campos FY24'!$C$7:$C$740,'1. Status Resumo FY24'!$G$100,'2. Status Detalhe Campos FY24'!$D$7:$D$740,"2. Campo")+COUNTIFS('2. Status Detalhe Campos FY24'!$G$7:$G$740,'1. Status Resumo FY24'!$P116,'2. Status Detalhe Campos FY24'!$C$7:$C$740,'1. Status Resumo FY24'!$H$100,'2. Status Detalhe Campos FY24'!$D$7:$D$740,"2. Campo")</f>
        <v>0</v>
      </c>
      <c r="V116" s="373">
        <f t="shared" si="7"/>
        <v>0</v>
      </c>
      <c r="W116" s="156"/>
      <c r="X116" s="550"/>
      <c r="Y116" s="551"/>
      <c r="Z116" s="551"/>
      <c r="AA116" s="551"/>
      <c r="AB116" s="551"/>
      <c r="AC116" s="551"/>
      <c r="AD116" s="551"/>
      <c r="AE116" s="551"/>
      <c r="AF116" s="552"/>
      <c r="AG116" s="157"/>
      <c r="AH116" s="116"/>
    </row>
    <row r="117" spans="1:34" ht="17.899999999999999" customHeight="1">
      <c r="A117" s="116"/>
      <c r="B117" s="121"/>
      <c r="D117" s="534"/>
      <c r="P117" s="375" t="s">
        <v>2366</v>
      </c>
      <c r="Q117" s="376"/>
      <c r="R117" s="376"/>
      <c r="S117" s="376"/>
      <c r="T117" s="446">
        <f>COUNTIFS('2. Status Detalhe Campos FY24'!$H$7:$H$740,'1. Status Resumo FY24'!$P116,'2. Status Detalhe Campos FY24'!$C$7:$C$740,'1. Status Resumo FY24'!$G$100,'2. Status Detalhe Campos FY24'!$D$7:$D$740,"2. Campo",'2. Status Detalhe Campos FY24'!$U$7:$U$740,"*Plano anterior*")
+COUNTIFS('2. Status Detalhe Campos FY24'!$H$7:$H$740,'1. Status Resumo FY24'!$P116,'2. Status Detalhe Campos FY24'!$C$7:$C$740,'1. Status Resumo FY24'!$H$100,'2. Status Detalhe Campos FY24'!$D$7:$D$740,"2. Campo",'2. Status Detalhe Campos FY24'!$U$7:$U$740,"*Plano anterior*")</f>
        <v>0</v>
      </c>
      <c r="U117" s="446">
        <f>COUNTIFS('2. Status Detalhe Campos FY24'!$G$7:$G$740,'1. Status Resumo FY24'!$P116,'2. Status Detalhe Campos FY24'!$C$7:$C$740,'1. Status Resumo FY24'!$G$100,'2. Status Detalhe Campos FY24'!$D$7:$D$740,"2. Campo",'2. Status Detalhe Campos FY24'!$U$7:$U$740,"*Plano anterior*")
+COUNTIFS('2. Status Detalhe Campos FY24'!$G$7:$G$740,'1. Status Resumo FY24'!$P116,'2. Status Detalhe Campos FY24'!$C$7:$C$740,'1. Status Resumo FY24'!$H$100,'2. Status Detalhe Campos FY24'!$D$7:$D$740,"2. Campo",'2. Status Detalhe Campos FY24'!$U$7:$U$740,"*Plano anterior*")</f>
        <v>0</v>
      </c>
      <c r="V117" s="446">
        <f t="shared" si="7"/>
        <v>0</v>
      </c>
      <c r="W117" s="156"/>
      <c r="X117" s="550"/>
      <c r="Y117" s="551"/>
      <c r="Z117" s="551"/>
      <c r="AA117" s="551"/>
      <c r="AB117" s="551"/>
      <c r="AC117" s="551"/>
      <c r="AD117" s="551"/>
      <c r="AE117" s="551"/>
      <c r="AF117" s="552"/>
      <c r="AG117" s="157"/>
      <c r="AH117" s="116"/>
    </row>
    <row r="118" spans="1:34" ht="17.899999999999999" customHeight="1">
      <c r="A118" s="116"/>
      <c r="B118" s="121"/>
      <c r="D118" s="534"/>
      <c r="P118" s="375" t="s">
        <v>2356</v>
      </c>
      <c r="Q118" s="378"/>
      <c r="R118" s="378"/>
      <c r="S118" s="378"/>
      <c r="T118" s="447">
        <f>COUNTIFS('2. Status Detalhe Campos FY24'!$H$7:$H$740,'1. Status Resumo FY24'!$P116,'2. Status Detalhe Campos FY24'!$C$7:$C$740,'1. Status Resumo FY24'!$G$100,'2. Status Detalhe Campos FY24'!$D$7:$D$740,"2. Campo",'2. Status Detalhe Campos FY24'!$U$7:$U$740,"*Novo Plano*")
+COUNTIFS('2. Status Detalhe Campos FY24'!$H$7:$H$740,'1. Status Resumo FY24'!$P116,'2. Status Detalhe Campos FY24'!$C$7:$C$740,'1. Status Resumo FY24'!$H$100,'2. Status Detalhe Campos FY24'!$D$7:$D$740,"2. Campo",'2. Status Detalhe Campos FY24'!$U$7:$U$740,"*Novo Plano*")</f>
        <v>0</v>
      </c>
      <c r="U118" s="447">
        <f>COUNTIFS('2. Status Detalhe Campos FY24'!$G$7:$G$740,'1. Status Resumo FY24'!$P116,'2. Status Detalhe Campos FY24'!$C$7:$C$740,'1. Status Resumo FY24'!$G$100,'2. Status Detalhe Campos FY24'!$D$7:$D$740,"2. Campo",'2. Status Detalhe Campos FY24'!$U$7:$U$740,"*Novo Plano*")
+COUNTIFS('2. Status Detalhe Campos FY24'!$G$7:$G$740,'1. Status Resumo FY24'!$P116,'2. Status Detalhe Campos FY24'!$C$7:$C$740,'1. Status Resumo FY24'!$H$100,'2. Status Detalhe Campos FY24'!$D$7:$D$740,"2. Campo",'2. Status Detalhe Campos FY24'!$U$7:$U$740,"*Novo Plano*")</f>
        <v>0</v>
      </c>
      <c r="V118" s="447">
        <f t="shared" si="7"/>
        <v>0</v>
      </c>
      <c r="W118" s="156"/>
      <c r="X118" s="550"/>
      <c r="Y118" s="551"/>
      <c r="Z118" s="551"/>
      <c r="AA118" s="551"/>
      <c r="AB118" s="551"/>
      <c r="AC118" s="551"/>
      <c r="AD118" s="551"/>
      <c r="AE118" s="551"/>
      <c r="AF118" s="552"/>
      <c r="AG118" s="157"/>
      <c r="AH118" s="116"/>
    </row>
    <row r="119" spans="1:34" ht="17.899999999999999" customHeight="1">
      <c r="A119" s="116"/>
      <c r="B119" s="121"/>
      <c r="D119" s="427"/>
      <c r="P119" s="373" t="s">
        <v>614</v>
      </c>
      <c r="Q119" s="373"/>
      <c r="R119" s="373"/>
      <c r="S119" s="373"/>
      <c r="T119" s="373">
        <f>COUNTIFS('2. Status Detalhe Campos FY24'!$H$7:$H$740,'1. Status Resumo FY24'!$P119,'2. Status Detalhe Campos FY24'!$C$7:$C$740,'1. Status Resumo FY24'!$G$100,'2. Status Detalhe Campos FY24'!$D$7:$D$740,"2. Campo")+COUNTIFS('2. Status Detalhe Campos FY24'!$H$7:$H$740,'1. Status Resumo FY24'!$P119,'2. Status Detalhe Campos FY24'!$C$7:$C$740,'1. Status Resumo FY24'!$H$100,'2. Status Detalhe Campos FY24'!$D$7:$D$740,"2. Campo")</f>
        <v>0</v>
      </c>
      <c r="U119" s="373">
        <f>COUNTIFS('2. Status Detalhe Campos FY24'!$G$7:$G$740,'1. Status Resumo FY24'!$P119,'2. Status Detalhe Campos FY24'!$C$7:$C$740,'1. Status Resumo FY24'!$G$100,'2. Status Detalhe Campos FY24'!$D$7:$D$740,"2. Campo")+COUNTIFS('2. Status Detalhe Campos FY24'!$G$7:$G$740,'1. Status Resumo FY24'!$P119,'2. Status Detalhe Campos FY24'!$C$7:$C$740,'1. Status Resumo FY24'!$H$100,'2. Status Detalhe Campos FY24'!$D$7:$D$740,"2. Campo")</f>
        <v>0</v>
      </c>
      <c r="V119" s="373">
        <f t="shared" si="7"/>
        <v>0</v>
      </c>
      <c r="W119" s="156"/>
      <c r="X119" s="550"/>
      <c r="Y119" s="551"/>
      <c r="Z119" s="551"/>
      <c r="AA119" s="551"/>
      <c r="AB119" s="551"/>
      <c r="AC119" s="551"/>
      <c r="AD119" s="551"/>
      <c r="AE119" s="551"/>
      <c r="AF119" s="552"/>
      <c r="AG119" s="157"/>
      <c r="AH119" s="116"/>
    </row>
    <row r="120" spans="1:34" ht="17.899999999999999" customHeight="1">
      <c r="A120" s="116"/>
      <c r="B120" s="121"/>
      <c r="D120" s="371"/>
      <c r="E120" s="371"/>
      <c r="P120" s="375" t="s">
        <v>2366</v>
      </c>
      <c r="Q120" s="376"/>
      <c r="R120" s="376"/>
      <c r="S120" s="376"/>
      <c r="T120" s="446">
        <f>COUNTIFS('2. Status Detalhe Campos FY24'!$H$7:$H$740,'1. Status Resumo FY24'!$P119,'2. Status Detalhe Campos FY24'!$C$7:$C$740,'1. Status Resumo FY24'!$G$100,'2. Status Detalhe Campos FY24'!$D$7:$D$740,"2. Campo",'2. Status Detalhe Campos FY24'!$U$7:$U$740,"*Plano anterior*")
+COUNTIFS('2. Status Detalhe Campos FY24'!$H$7:$H$740,'1. Status Resumo FY24'!$P119,'2. Status Detalhe Campos FY24'!$C$7:$C$740,'1. Status Resumo FY24'!$H$100,'2. Status Detalhe Campos FY24'!$D$7:$D$740,"2. Campo",'2. Status Detalhe Campos FY24'!$U$7:$U$740,"*Plano anterior*")</f>
        <v>0</v>
      </c>
      <c r="U120" s="446">
        <f>COUNTIFS('2. Status Detalhe Campos FY24'!$G$7:$G$740,'1. Status Resumo FY24'!$P119,'2. Status Detalhe Campos FY24'!$C$7:$C$740,'1. Status Resumo FY24'!$G$100,'2. Status Detalhe Campos FY24'!$D$7:$D$740,"2. Campo",'2. Status Detalhe Campos FY24'!$U$7:$U$740,"*Plano anterior*")
+COUNTIFS('2. Status Detalhe Campos FY24'!$G$7:$G$740,'1. Status Resumo FY24'!$P119,'2. Status Detalhe Campos FY24'!$C$7:$C$740,'1. Status Resumo FY24'!$H$100,'2. Status Detalhe Campos FY24'!$D$7:$D$740,"2. Campo",'2. Status Detalhe Campos FY24'!$U$7:$U$740,"*Plano anterior*")</f>
        <v>0</v>
      </c>
      <c r="V120" s="446">
        <f t="shared" si="7"/>
        <v>0</v>
      </c>
      <c r="W120" s="156"/>
      <c r="X120" s="550"/>
      <c r="Y120" s="551"/>
      <c r="Z120" s="551"/>
      <c r="AA120" s="551"/>
      <c r="AB120" s="551"/>
      <c r="AC120" s="551"/>
      <c r="AD120" s="551"/>
      <c r="AE120" s="551"/>
      <c r="AF120" s="552"/>
      <c r="AG120" s="157"/>
      <c r="AH120" s="116"/>
    </row>
    <row r="121" spans="1:34" ht="17.899999999999999" customHeight="1">
      <c r="A121" s="116"/>
      <c r="B121" s="121"/>
      <c r="D121" s="371"/>
      <c r="E121" s="371"/>
      <c r="P121" s="375" t="s">
        <v>2356</v>
      </c>
      <c r="Q121" s="378"/>
      <c r="R121" s="378"/>
      <c r="S121" s="378"/>
      <c r="T121" s="447">
        <f>COUNTIFS('2. Status Detalhe Campos FY24'!$H$7:$H$740,'1. Status Resumo FY24'!$P119,'2. Status Detalhe Campos FY24'!$C$7:$C$740,'1. Status Resumo FY24'!$G$100,'2. Status Detalhe Campos FY24'!$D$7:$D$740,"2. Campo",'2. Status Detalhe Campos FY24'!$U$7:$U$740,"*Novo Plano*")
+COUNTIFS('2. Status Detalhe Campos FY24'!$H$7:$H$740,'1. Status Resumo FY24'!$P119,'2. Status Detalhe Campos FY24'!$C$7:$C$740,'1. Status Resumo FY24'!$H$100,'2. Status Detalhe Campos FY24'!$D$7:$D$740,"2. Campo",'2. Status Detalhe Campos FY24'!$U$7:$U$740,"*Novo Plano*")</f>
        <v>0</v>
      </c>
      <c r="U121" s="447">
        <f>COUNTIFS('2. Status Detalhe Campos FY24'!$G$7:$G$740,'1. Status Resumo FY24'!$P119,'2. Status Detalhe Campos FY24'!$C$7:$C$740,'1. Status Resumo FY24'!$G$100,'2. Status Detalhe Campos FY24'!$D$7:$D$740,"2. Campo",'2. Status Detalhe Campos FY24'!$U$7:$U$740,"*Novo Plano*")
+COUNTIFS('2. Status Detalhe Campos FY24'!$G$7:$G$740,'1. Status Resumo FY24'!$P119,'2. Status Detalhe Campos FY24'!$C$7:$C$740,'1. Status Resumo FY24'!$H$100,'2. Status Detalhe Campos FY24'!$D$7:$D$740,"2. Campo",'2. Status Detalhe Campos FY24'!$U$7:$U$740,"*Novo Plano*")</f>
        <v>0</v>
      </c>
      <c r="V121" s="447">
        <f t="shared" si="7"/>
        <v>0</v>
      </c>
      <c r="W121" s="156"/>
      <c r="X121" s="550"/>
      <c r="Y121" s="551"/>
      <c r="Z121" s="551"/>
      <c r="AA121" s="551"/>
      <c r="AB121" s="551"/>
      <c r="AC121" s="551"/>
      <c r="AD121" s="551"/>
      <c r="AE121" s="551"/>
      <c r="AF121" s="552"/>
      <c r="AG121" s="157"/>
      <c r="AH121" s="116"/>
    </row>
    <row r="122" spans="1:34" ht="17.899999999999999" customHeight="1">
      <c r="A122" s="116"/>
      <c r="B122" s="121"/>
      <c r="P122" s="373" t="s">
        <v>615</v>
      </c>
      <c r="Q122" s="373"/>
      <c r="R122" s="373" t="s">
        <v>616</v>
      </c>
      <c r="S122" s="373"/>
      <c r="T122" s="373">
        <f>COUNTIFS('2. Status Detalhe Campos FY24'!$H$7:$H$740,'1. Status Resumo FY24'!$P122,'2. Status Detalhe Campos FY24'!$C$7:$C$740,'1. Status Resumo FY24'!$G$100,'2. Status Detalhe Campos FY24'!$D$7:$D$740,"2. Campo")+COUNTIFS('2. Status Detalhe Campos FY24'!$H$7:$H$740,'1. Status Resumo FY24'!$P122,'2. Status Detalhe Campos FY24'!$C$7:$C$740,'1. Status Resumo FY24'!$H$100,'2. Status Detalhe Campos FY24'!$D$7:$D$740,"2. Campo")</f>
        <v>0</v>
      </c>
      <c r="U122" s="373">
        <f>COUNTIFS('2. Status Detalhe Campos FY24'!$G$7:$G$740,'1. Status Resumo FY24'!$P122,'2. Status Detalhe Campos FY24'!$C$7:$C$740,'1. Status Resumo FY24'!$G$100,'2. Status Detalhe Campos FY24'!$D$7:$D$740,"2. Campo")+COUNTIFS('2. Status Detalhe Campos FY24'!$G$7:$G$740,'1. Status Resumo FY24'!$P122,'2. Status Detalhe Campos FY24'!$C$7:$C$740,'1. Status Resumo FY24'!$H$100,'2. Status Detalhe Campos FY24'!$D$7:$D$740,"2. Campo")</f>
        <v>0</v>
      </c>
      <c r="V122" s="373">
        <f t="shared" si="7"/>
        <v>0</v>
      </c>
      <c r="W122" s="156"/>
      <c r="X122" s="550"/>
      <c r="Y122" s="551"/>
      <c r="Z122" s="551"/>
      <c r="AA122" s="551"/>
      <c r="AB122" s="551"/>
      <c r="AC122" s="551"/>
      <c r="AD122" s="551"/>
      <c r="AE122" s="551"/>
      <c r="AF122" s="552"/>
      <c r="AG122" s="157"/>
      <c r="AH122" s="116"/>
    </row>
    <row r="123" spans="1:34" ht="17.899999999999999" customHeight="1">
      <c r="A123" s="116"/>
      <c r="B123" s="121"/>
      <c r="P123" s="375" t="s">
        <v>2366</v>
      </c>
      <c r="Q123" s="376"/>
      <c r="R123" s="376"/>
      <c r="S123" s="376"/>
      <c r="T123" s="446">
        <f>COUNTIFS('2. Status Detalhe Campos FY24'!$H$7:$H$740,'1. Status Resumo FY24'!$P122,'2. Status Detalhe Campos FY24'!$C$7:$C$740,'1. Status Resumo FY24'!$G$100,'2. Status Detalhe Campos FY24'!$D$7:$D$740,"2. Campo",'2. Status Detalhe Campos FY24'!$U$7:$U$740,"*Plano anterior*")
+COUNTIFS('2. Status Detalhe Campos FY24'!$H$7:$H$740,'1. Status Resumo FY24'!$P122,'2. Status Detalhe Campos FY24'!$C$7:$C$740,'1. Status Resumo FY24'!$H$100,'2. Status Detalhe Campos FY24'!$D$7:$D$740,"2. Campo",'2. Status Detalhe Campos FY24'!$U$7:$U$740,"*Plano anterior*")</f>
        <v>0</v>
      </c>
      <c r="U123" s="446">
        <f>COUNTIFS('2. Status Detalhe Campos FY24'!$G$7:$G$740,'1. Status Resumo FY24'!$P122,'2. Status Detalhe Campos FY24'!$C$7:$C$740,'1. Status Resumo FY24'!$G$100,'2. Status Detalhe Campos FY24'!$D$7:$D$740,"2. Campo",'2. Status Detalhe Campos FY24'!$U$7:$U$740,"*Plano anterior*")
+COUNTIFS('2. Status Detalhe Campos FY24'!$G$7:$G$740,'1. Status Resumo FY24'!$P122,'2. Status Detalhe Campos FY24'!$C$7:$C$740,'1. Status Resumo FY24'!$H$100,'2. Status Detalhe Campos FY24'!$D$7:$D$740,"2. Campo",'2. Status Detalhe Campos FY24'!$U$7:$U$740,"*Plano anterior*")</f>
        <v>0</v>
      </c>
      <c r="V123" s="446">
        <f t="shared" si="7"/>
        <v>0</v>
      </c>
      <c r="W123" s="156"/>
      <c r="X123" s="550"/>
      <c r="Y123" s="551"/>
      <c r="Z123" s="551"/>
      <c r="AA123" s="551"/>
      <c r="AB123" s="551"/>
      <c r="AC123" s="551"/>
      <c r="AD123" s="551"/>
      <c r="AE123" s="551"/>
      <c r="AF123" s="552"/>
      <c r="AG123" s="157"/>
      <c r="AH123" s="116"/>
    </row>
    <row r="124" spans="1:34" ht="17.899999999999999" customHeight="1">
      <c r="A124" s="116"/>
      <c r="B124" s="121"/>
      <c r="P124" s="375" t="s">
        <v>2356</v>
      </c>
      <c r="Q124" s="378"/>
      <c r="R124" s="378"/>
      <c r="S124" s="378"/>
      <c r="T124" s="447">
        <f>COUNTIFS('2. Status Detalhe Campos FY24'!$H$7:$H$740,'1. Status Resumo FY24'!$P122,'2. Status Detalhe Campos FY24'!$C$7:$C$740,'1. Status Resumo FY24'!$G$100,'2. Status Detalhe Campos FY24'!$D$7:$D$740,"2. Campo",'2. Status Detalhe Campos FY24'!$U$7:$U$740,"*Novo Plano*")
+COUNTIFS('2. Status Detalhe Campos FY24'!$H$7:$H$740,'1. Status Resumo FY24'!$P122,'2. Status Detalhe Campos FY24'!$C$7:$C$740,'1. Status Resumo FY24'!$H$100,'2. Status Detalhe Campos FY24'!$D$7:$D$740,"2. Campo",'2. Status Detalhe Campos FY24'!$U$7:$U$740,"*Novo Plano*")</f>
        <v>0</v>
      </c>
      <c r="U124" s="447">
        <f>COUNTIFS('2. Status Detalhe Campos FY24'!$G$7:$G$740,'1. Status Resumo FY24'!$P122,'2. Status Detalhe Campos FY24'!$C$7:$C$740,'1. Status Resumo FY24'!$G$100,'2. Status Detalhe Campos FY24'!$D$7:$D$740,"2. Campo",'2. Status Detalhe Campos FY24'!$U$7:$U$740,"*Novo Plano*")
+COUNTIFS('2. Status Detalhe Campos FY24'!$G$7:$G$740,'1. Status Resumo FY24'!$P122,'2. Status Detalhe Campos FY24'!$C$7:$C$740,'1. Status Resumo FY24'!$H$100,'2. Status Detalhe Campos FY24'!$D$7:$D$740,"2. Campo",'2. Status Detalhe Campos FY24'!$U$7:$U$740,"*Novo Plano*")</f>
        <v>0</v>
      </c>
      <c r="V124" s="447">
        <f t="shared" si="7"/>
        <v>0</v>
      </c>
      <c r="W124" s="156"/>
      <c r="X124" s="550"/>
      <c r="Y124" s="551"/>
      <c r="Z124" s="551"/>
      <c r="AA124" s="551"/>
      <c r="AB124" s="551"/>
      <c r="AC124" s="551"/>
      <c r="AD124" s="551"/>
      <c r="AE124" s="551"/>
      <c r="AF124" s="552"/>
      <c r="AG124" s="157"/>
      <c r="AH124" s="116"/>
    </row>
    <row r="125" spans="1:34">
      <c r="A125" s="116"/>
      <c r="B125" s="121"/>
      <c r="P125" s="373" t="s">
        <v>2320</v>
      </c>
      <c r="Q125" s="373"/>
      <c r="R125" s="373"/>
      <c r="S125" s="373"/>
      <c r="T125" s="373">
        <f>COUNTIFS('2. Status Detalhe Campos FY24'!$H$7:$H$740,'1. Status Resumo FY24'!$P125,'2. Status Detalhe Campos FY24'!$C$7:$C$740,'1. Status Resumo FY24'!$G$100,'2. Status Detalhe Campos FY24'!$D$7:$D$740,"2. Campo")+COUNTIFS('2. Status Detalhe Campos FY24'!$H$7:$H$740,'1. Status Resumo FY24'!$P125,'2. Status Detalhe Campos FY24'!$C$7:$C$740,'1. Status Resumo FY24'!$H$100,'2. Status Detalhe Campos FY24'!$D$7:$D$740,"2. Campo")</f>
        <v>59</v>
      </c>
      <c r="U125" s="373">
        <f>COUNTIFS('2. Status Detalhe Campos FY24'!$G$7:$G$740,'1. Status Resumo FY24'!$P125,'2. Status Detalhe Campos FY24'!$C$7:$C$740,'1. Status Resumo FY24'!$G$100,'2. Status Detalhe Campos FY24'!$D$7:$D$740,"2. Campo")+COUNTIFS('2. Status Detalhe Campos FY24'!$G$7:$G$740,'1. Status Resumo FY24'!$P125,'2. Status Detalhe Campos FY24'!$C$7:$C$740,'1. Status Resumo FY24'!$H$100,'2. Status Detalhe Campos FY24'!$D$7:$D$740,"2. Campo")</f>
        <v>59</v>
      </c>
      <c r="V125" s="373">
        <f t="shared" si="7"/>
        <v>0</v>
      </c>
      <c r="X125" s="550"/>
      <c r="Y125" s="551"/>
      <c r="Z125" s="551"/>
      <c r="AA125" s="551"/>
      <c r="AB125" s="551"/>
      <c r="AC125" s="551"/>
      <c r="AD125" s="551"/>
      <c r="AE125" s="551"/>
      <c r="AF125" s="552"/>
      <c r="AG125" s="157"/>
      <c r="AH125" s="116"/>
    </row>
    <row r="126" spans="1:34">
      <c r="A126" s="116"/>
      <c r="B126" s="121"/>
      <c r="P126" s="375" t="s">
        <v>2366</v>
      </c>
      <c r="Q126" s="376"/>
      <c r="R126" s="376"/>
      <c r="S126" s="376"/>
      <c r="T126" s="446">
        <f>COUNTIFS('2. Status Detalhe Campos FY24'!$H$7:$H$740,'1. Status Resumo FY24'!$P125,'2. Status Detalhe Campos FY24'!$C$7:$C$740,'1. Status Resumo FY24'!$G$100,'2. Status Detalhe Campos FY24'!$D$7:$D$740,"2. Campo",'2. Status Detalhe Campos FY24'!$U$7:$U$740,"*Plano anterior*")
+COUNTIFS('2. Status Detalhe Campos FY24'!$H$7:$H$740,'1. Status Resumo FY24'!$P125,'2. Status Detalhe Campos FY24'!$C$7:$C$740,'1. Status Resumo FY24'!$H$100,'2. Status Detalhe Campos FY24'!$D$7:$D$740,"2. Campo",'2. Status Detalhe Campos FY24'!$U$7:$U$740,"*Plano anterior*")</f>
        <v>59</v>
      </c>
      <c r="U126" s="446">
        <f>COUNTIFS('2. Status Detalhe Campos FY24'!$G$7:$G$740,'1. Status Resumo FY24'!$P125,'2. Status Detalhe Campos FY24'!$C$7:$C$740,'1. Status Resumo FY24'!$G$100,'2. Status Detalhe Campos FY24'!$D$7:$D$740,"2. Campo",'2. Status Detalhe Campos FY24'!$U$7:$U$740,"*Plano anterior*")
+COUNTIFS('2. Status Detalhe Campos FY24'!$G$7:$G$740,'1. Status Resumo FY24'!$P125,'2. Status Detalhe Campos FY24'!$C$7:$C$740,'1. Status Resumo FY24'!$H$100,'2. Status Detalhe Campos FY24'!$D$7:$D$740,"2. Campo",'2. Status Detalhe Campos FY24'!$U$7:$U$740,"*Plano anterior*")</f>
        <v>59</v>
      </c>
      <c r="V126" s="446">
        <f t="shared" si="7"/>
        <v>0</v>
      </c>
      <c r="X126" s="550"/>
      <c r="Y126" s="551"/>
      <c r="Z126" s="551"/>
      <c r="AA126" s="551"/>
      <c r="AB126" s="551"/>
      <c r="AC126" s="551"/>
      <c r="AD126" s="551"/>
      <c r="AE126" s="551"/>
      <c r="AF126" s="552"/>
      <c r="AG126" s="157"/>
      <c r="AH126" s="116"/>
    </row>
    <row r="127" spans="1:34">
      <c r="A127" s="116"/>
      <c r="B127" s="121"/>
      <c r="P127" s="375" t="s">
        <v>2356</v>
      </c>
      <c r="Q127" s="378"/>
      <c r="R127" s="378"/>
      <c r="S127" s="378"/>
      <c r="T127" s="447">
        <f>COUNTIFS('2. Status Detalhe Campos FY24'!$H$7:$H$740,'1. Status Resumo FY24'!$P125,'2. Status Detalhe Campos FY24'!$C$7:$C$740,'1. Status Resumo FY24'!$G$100,'2. Status Detalhe Campos FY24'!$D$7:$D$740,"2. Campo",'2. Status Detalhe Campos FY24'!$U$7:$U$740,"*Novo Plano*")
+COUNTIFS('2. Status Detalhe Campos FY24'!$H$7:$H$740,'1. Status Resumo FY24'!$P125,'2. Status Detalhe Campos FY24'!$C$7:$C$740,'1. Status Resumo FY24'!$H$100,'2. Status Detalhe Campos FY24'!$D$7:$D$740,"2. Campo",'2. Status Detalhe Campos FY24'!$U$7:$U$740,"*Novo Plano*")</f>
        <v>0</v>
      </c>
      <c r="U127" s="447">
        <f>COUNTIFS('2. Status Detalhe Campos FY24'!$G$7:$G$740,'1. Status Resumo FY24'!$P125,'2. Status Detalhe Campos FY24'!$C$7:$C$740,'1. Status Resumo FY24'!$G$100,'2. Status Detalhe Campos FY24'!$D$7:$D$740,"2. Campo",'2. Status Detalhe Campos FY24'!$U$7:$U$740,"*Novo Plano*")
+COUNTIFS('2. Status Detalhe Campos FY24'!$G$7:$G$740,'1. Status Resumo FY24'!$P125,'2. Status Detalhe Campos FY24'!$C$7:$C$740,'1. Status Resumo FY24'!$H$100,'2. Status Detalhe Campos FY24'!$D$7:$D$740,"2. Campo",'2. Status Detalhe Campos FY24'!$U$7:$U$740,"*Novo Plano*")</f>
        <v>0</v>
      </c>
      <c r="V127" s="447">
        <f t="shared" si="7"/>
        <v>0</v>
      </c>
      <c r="X127" s="550"/>
      <c r="Y127" s="551"/>
      <c r="Z127" s="551"/>
      <c r="AA127" s="551"/>
      <c r="AB127" s="551"/>
      <c r="AC127" s="551"/>
      <c r="AD127" s="551"/>
      <c r="AE127" s="551"/>
      <c r="AF127" s="552"/>
      <c r="AG127" s="157"/>
      <c r="AH127" s="116"/>
    </row>
    <row r="128" spans="1:34">
      <c r="A128" s="116"/>
      <c r="B128" s="121"/>
      <c r="P128" s="373" t="s">
        <v>28</v>
      </c>
      <c r="Q128" s="373"/>
      <c r="R128" s="373"/>
      <c r="S128" s="373"/>
      <c r="T128" s="373">
        <f>COUNTIFS('2. Status Detalhe Campos FY24'!$H$7:$H$740,'1. Status Resumo FY24'!$P128,'2. Status Detalhe Campos FY24'!$C$7:$C$740,'1. Status Resumo FY24'!$G$100,'2. Status Detalhe Campos FY24'!$D$7:$D$740,"2. Campo")+COUNTIFS('2. Status Detalhe Campos FY24'!$H$7:$H$740,'1. Status Resumo FY24'!$P128,'2. Status Detalhe Campos FY24'!$C$7:$C$740,'1. Status Resumo FY24'!$H$100,'2. Status Detalhe Campos FY24'!$D$7:$D$740,"2. Campo")</f>
        <v>0</v>
      </c>
      <c r="U128" s="373">
        <f>COUNTIFS('2. Status Detalhe Campos FY24'!$G$7:$G$740,'1. Status Resumo FY24'!$P128,'2. Status Detalhe Campos FY24'!$C$7:$C$740,'1. Status Resumo FY24'!$G$100,'2. Status Detalhe Campos FY24'!$D$7:$D$740,"2. Campo")+COUNTIFS('2. Status Detalhe Campos FY24'!$G$7:$G$740,'1. Status Resumo FY24'!$P128,'2. Status Detalhe Campos FY24'!$C$7:$C$740,'1. Status Resumo FY24'!$H$100,'2. Status Detalhe Campos FY24'!$D$7:$D$740,"2. Campo")</f>
        <v>0</v>
      </c>
      <c r="V128" s="373">
        <f t="shared" si="7"/>
        <v>0</v>
      </c>
      <c r="X128" s="550"/>
      <c r="Y128" s="551"/>
      <c r="Z128" s="551"/>
      <c r="AA128" s="551"/>
      <c r="AB128" s="551"/>
      <c r="AC128" s="551"/>
      <c r="AD128" s="551"/>
      <c r="AE128" s="551"/>
      <c r="AF128" s="552"/>
      <c r="AG128" s="157"/>
      <c r="AH128" s="116"/>
    </row>
    <row r="129" spans="1:34">
      <c r="A129" s="116"/>
      <c r="B129" s="121"/>
      <c r="P129" s="375" t="s">
        <v>2366</v>
      </c>
      <c r="Q129" s="376"/>
      <c r="R129" s="376"/>
      <c r="S129" s="376"/>
      <c r="T129" s="446">
        <f>COUNTIFS('2. Status Detalhe Campos FY24'!$H$7:$H$740,'1. Status Resumo FY24'!$P128,'2. Status Detalhe Campos FY24'!$C$7:$C$740,'1. Status Resumo FY24'!$G$100,'2. Status Detalhe Campos FY24'!$D$7:$D$740,"2. Campo",'2. Status Detalhe Campos FY24'!$U$7:$U$740,"*Plano anterior*")
+COUNTIFS('2. Status Detalhe Campos FY24'!$H$7:$H$740,'1. Status Resumo FY24'!$P128,'2. Status Detalhe Campos FY24'!$C$7:$C$740,'1. Status Resumo FY24'!$H$100,'2. Status Detalhe Campos FY24'!$D$7:$D$740,"2. Campo",'2. Status Detalhe Campos FY24'!$U$7:$U$740,"*Plano anterior*")</f>
        <v>0</v>
      </c>
      <c r="U129" s="446">
        <f>COUNTIFS('2. Status Detalhe Campos FY24'!$G$7:$G$740,'1. Status Resumo FY24'!$P128,'2. Status Detalhe Campos FY24'!$C$7:$C$740,'1. Status Resumo FY24'!$G$100,'2. Status Detalhe Campos FY24'!$D$7:$D$740,"2. Campo",'2. Status Detalhe Campos FY24'!$U$7:$U$740,"*Plano anterior*")
+COUNTIFS('2. Status Detalhe Campos FY24'!$G$7:$G$740,'1. Status Resumo FY24'!$P128,'2. Status Detalhe Campos FY24'!$C$7:$C$740,'1. Status Resumo FY24'!$H$100,'2. Status Detalhe Campos FY24'!$D$7:$D$740,"2. Campo",'2. Status Detalhe Campos FY24'!$U$7:$U$740,"*Plano anterior*")</f>
        <v>0</v>
      </c>
      <c r="V129" s="446">
        <f t="shared" si="7"/>
        <v>0</v>
      </c>
      <c r="X129" s="550"/>
      <c r="Y129" s="551"/>
      <c r="Z129" s="551"/>
      <c r="AA129" s="551"/>
      <c r="AB129" s="551"/>
      <c r="AC129" s="551"/>
      <c r="AD129" s="551"/>
      <c r="AE129" s="551"/>
      <c r="AF129" s="552"/>
      <c r="AG129" s="157"/>
      <c r="AH129" s="116"/>
    </row>
    <row r="130" spans="1:34">
      <c r="A130" s="116"/>
      <c r="B130" s="121"/>
      <c r="P130" s="379" t="s">
        <v>2356</v>
      </c>
      <c r="Q130" s="380"/>
      <c r="R130" s="380"/>
      <c r="S130" s="380"/>
      <c r="T130" s="448">
        <f>COUNTIFS('2. Status Detalhe Campos FY24'!$H$7:$H$740,'1. Status Resumo FY24'!$P128,'2. Status Detalhe Campos FY24'!$C$7:$C$740,'1. Status Resumo FY24'!$G$100,'2. Status Detalhe Campos FY24'!$D$7:$D$740,"2. Campo",'2. Status Detalhe Campos FY24'!$U$7:$U$740,"*Novo Plano*")
+COUNTIFS('2. Status Detalhe Campos FY24'!$H$7:$H$740,'1. Status Resumo FY24'!$P128,'2. Status Detalhe Campos FY24'!$C$7:$C$740,'1. Status Resumo FY24'!$H$100,'2. Status Detalhe Campos FY24'!$D$7:$D$740,"2. Campo",'2. Status Detalhe Campos FY24'!$U$7:$U$740,"*Novo Plano*")</f>
        <v>0</v>
      </c>
      <c r="U130" s="448">
        <f>COUNTIFS('2. Status Detalhe Campos FY24'!$G$7:$G$740,'1. Status Resumo FY24'!$P128,'2. Status Detalhe Campos FY24'!$C$7:$C$740,'1. Status Resumo FY24'!$G$100,'2. Status Detalhe Campos FY24'!$D$7:$D$740,"2. Campo",'2. Status Detalhe Campos FY24'!$U$7:$U$740,"*Novo Plano*")
+COUNTIFS('2. Status Detalhe Campos FY24'!$G$7:$G$740,'1. Status Resumo FY24'!$P128,'2. Status Detalhe Campos FY24'!$C$7:$C$740,'1. Status Resumo FY24'!$H$100,'2. Status Detalhe Campos FY24'!$D$7:$D$740,"2. Campo",'2. Status Detalhe Campos FY24'!$U$7:$U$740,"*Novo Plano*")</f>
        <v>0</v>
      </c>
      <c r="V130" s="448">
        <f t="shared" si="7"/>
        <v>0</v>
      </c>
      <c r="X130" s="550"/>
      <c r="Y130" s="551"/>
      <c r="Z130" s="551"/>
      <c r="AA130" s="551"/>
      <c r="AB130" s="551"/>
      <c r="AC130" s="551"/>
      <c r="AD130" s="551"/>
      <c r="AE130" s="551"/>
      <c r="AF130" s="552"/>
      <c r="AG130" s="157"/>
      <c r="AH130" s="116"/>
    </row>
    <row r="131" spans="1:34">
      <c r="A131" s="116"/>
      <c r="B131" s="121"/>
      <c r="P131" s="127" t="s">
        <v>2326</v>
      </c>
      <c r="T131" s="127">
        <f>+SUM(T104,T107,T110,T116,T119,T122,T125,T128,T113)</f>
        <v>302</v>
      </c>
      <c r="U131" s="127">
        <f>+SUM(U104,U107,U110,U116,U119,U122,U125,U128,U113)</f>
        <v>302</v>
      </c>
      <c r="V131" s="127">
        <f>+U131-T131</f>
        <v>0</v>
      </c>
      <c r="X131" s="550"/>
      <c r="Y131" s="551"/>
      <c r="Z131" s="551"/>
      <c r="AA131" s="551"/>
      <c r="AB131" s="551"/>
      <c r="AC131" s="551"/>
      <c r="AD131" s="551"/>
      <c r="AE131" s="551"/>
      <c r="AF131" s="552"/>
      <c r="AG131" s="157"/>
      <c r="AH131" s="116"/>
    </row>
    <row r="132" spans="1:34">
      <c r="A132" s="116"/>
      <c r="B132" s="121"/>
      <c r="P132" s="381" t="s">
        <v>2366</v>
      </c>
      <c r="T132" s="449">
        <f>+SUM(T105,T108,T111,T114,T117,T120,T123,T126,T129)</f>
        <v>277</v>
      </c>
      <c r="U132" s="449">
        <f>+SUM(U105,U108,U111,U114,U117,U120,U123,U126,U129)</f>
        <v>277</v>
      </c>
      <c r="V132" s="449">
        <f>+U132-T132</f>
        <v>0</v>
      </c>
      <c r="X132" s="550"/>
      <c r="Y132" s="551"/>
      <c r="Z132" s="551"/>
      <c r="AA132" s="551"/>
      <c r="AB132" s="551"/>
      <c r="AC132" s="551"/>
      <c r="AD132" s="551"/>
      <c r="AE132" s="551"/>
      <c r="AF132" s="552"/>
      <c r="AG132" s="157"/>
      <c r="AH132" s="116"/>
    </row>
    <row r="133" spans="1:34">
      <c r="A133" s="116"/>
      <c r="B133" s="121"/>
      <c r="P133" s="382" t="s">
        <v>2356</v>
      </c>
      <c r="Q133" s="130"/>
      <c r="R133" s="130"/>
      <c r="S133" s="130"/>
      <c r="T133" s="450">
        <f>+SUM(T106,T109,T112,T115,T118,T121,T124,T127,T130)</f>
        <v>25</v>
      </c>
      <c r="U133" s="450">
        <f>+SUM(U106,U109,U112,U115,U118,U121,U124,U127,U130)</f>
        <v>25</v>
      </c>
      <c r="V133" s="450">
        <f>+U133-T133</f>
        <v>0</v>
      </c>
      <c r="X133" s="550"/>
      <c r="Y133" s="551"/>
      <c r="Z133" s="551"/>
      <c r="AA133" s="551"/>
      <c r="AB133" s="551"/>
      <c r="AC133" s="551"/>
      <c r="AD133" s="551"/>
      <c r="AE133" s="551"/>
      <c r="AF133" s="552"/>
      <c r="AG133" s="157"/>
      <c r="AH133" s="116"/>
    </row>
    <row r="134" spans="1:34">
      <c r="A134" s="116"/>
      <c r="B134" s="121"/>
      <c r="X134" s="550"/>
      <c r="Y134" s="551"/>
      <c r="Z134" s="551"/>
      <c r="AA134" s="551"/>
      <c r="AB134" s="551"/>
      <c r="AC134" s="551"/>
      <c r="AD134" s="551"/>
      <c r="AE134" s="551"/>
      <c r="AF134" s="552"/>
      <c r="AG134" s="157"/>
      <c r="AH134" s="116"/>
    </row>
    <row r="135" spans="1:34">
      <c r="A135" s="116"/>
      <c r="B135" s="121"/>
      <c r="P135" s="129" t="s">
        <v>632</v>
      </c>
      <c r="Q135" s="130"/>
      <c r="R135" s="130"/>
      <c r="S135" s="130"/>
      <c r="T135" s="130"/>
      <c r="U135" s="130"/>
      <c r="V135" s="130"/>
      <c r="X135" s="550"/>
      <c r="Y135" s="551"/>
      <c r="Z135" s="551"/>
      <c r="AA135" s="551"/>
      <c r="AB135" s="551"/>
      <c r="AC135" s="551"/>
      <c r="AD135" s="551"/>
      <c r="AE135" s="551"/>
      <c r="AF135" s="552"/>
      <c r="AG135" s="157"/>
      <c r="AH135" s="116"/>
    </row>
    <row r="136" spans="1:34">
      <c r="A136" s="116"/>
      <c r="B136" s="121"/>
      <c r="O136" s="159" t="s">
        <v>619</v>
      </c>
      <c r="P136" s="25" t="s">
        <v>216</v>
      </c>
      <c r="T136" s="161" t="s">
        <v>621</v>
      </c>
      <c r="X136" s="550"/>
      <c r="Y136" s="551"/>
      <c r="Z136" s="551"/>
      <c r="AA136" s="551"/>
      <c r="AB136" s="551"/>
      <c r="AC136" s="551"/>
      <c r="AD136" s="551"/>
      <c r="AE136" s="551"/>
      <c r="AF136" s="552"/>
      <c r="AG136" s="157"/>
      <c r="AH136" s="116"/>
    </row>
    <row r="137" spans="1:34">
      <c r="A137" s="116"/>
      <c r="B137" s="121"/>
      <c r="O137" s="159" t="s">
        <v>619</v>
      </c>
      <c r="P137" s="25" t="s">
        <v>215</v>
      </c>
      <c r="T137" s="161" t="s">
        <v>621</v>
      </c>
      <c r="X137" s="550"/>
      <c r="Y137" s="551"/>
      <c r="Z137" s="551"/>
      <c r="AA137" s="551"/>
      <c r="AB137" s="551"/>
      <c r="AC137" s="551"/>
      <c r="AD137" s="551"/>
      <c r="AE137" s="551"/>
      <c r="AF137" s="552"/>
      <c r="AG137" s="157"/>
      <c r="AH137" s="116"/>
    </row>
    <row r="138" spans="1:34">
      <c r="A138" s="116"/>
      <c r="B138" s="121"/>
      <c r="O138" s="159" t="s">
        <v>619</v>
      </c>
      <c r="P138" s="25" t="s">
        <v>213</v>
      </c>
      <c r="T138" s="161" t="s">
        <v>621</v>
      </c>
      <c r="X138" s="550"/>
      <c r="Y138" s="551"/>
      <c r="Z138" s="551"/>
      <c r="AA138" s="551"/>
      <c r="AB138" s="551"/>
      <c r="AC138" s="551"/>
      <c r="AD138" s="551"/>
      <c r="AE138" s="551"/>
      <c r="AF138" s="552"/>
      <c r="AG138" s="157"/>
      <c r="AH138" s="116"/>
    </row>
    <row r="139" spans="1:34">
      <c r="A139" s="116"/>
      <c r="B139" s="121"/>
      <c r="O139" s="159" t="s">
        <v>619</v>
      </c>
      <c r="P139" s="25" t="s">
        <v>212</v>
      </c>
      <c r="T139" s="161" t="s">
        <v>621</v>
      </c>
      <c r="X139" s="550"/>
      <c r="Y139" s="551"/>
      <c r="Z139" s="551"/>
      <c r="AA139" s="551"/>
      <c r="AB139" s="551"/>
      <c r="AC139" s="551"/>
      <c r="AD139" s="551"/>
      <c r="AE139" s="551"/>
      <c r="AF139" s="552"/>
      <c r="AG139" s="157"/>
      <c r="AH139" s="116"/>
    </row>
    <row r="140" spans="1:34">
      <c r="A140" s="116"/>
      <c r="B140" s="121"/>
      <c r="O140" s="159" t="s">
        <v>619</v>
      </c>
      <c r="P140" s="25" t="s">
        <v>217</v>
      </c>
      <c r="T140" s="161" t="s">
        <v>621</v>
      </c>
      <c r="X140" s="550"/>
      <c r="Y140" s="551"/>
      <c r="Z140" s="551"/>
      <c r="AA140" s="551"/>
      <c r="AB140" s="551"/>
      <c r="AC140" s="551"/>
      <c r="AD140" s="551"/>
      <c r="AE140" s="551"/>
      <c r="AF140" s="552"/>
      <c r="AG140" s="157"/>
      <c r="AH140" s="116"/>
    </row>
    <row r="141" spans="1:34">
      <c r="A141" s="116"/>
      <c r="B141" s="121"/>
      <c r="O141" s="159" t="s">
        <v>619</v>
      </c>
      <c r="P141" s="25" t="s">
        <v>218</v>
      </c>
      <c r="T141" s="161" t="s">
        <v>621</v>
      </c>
      <c r="X141" s="550"/>
      <c r="Y141" s="551"/>
      <c r="Z141" s="551"/>
      <c r="AA141" s="551"/>
      <c r="AB141" s="551"/>
      <c r="AC141" s="551"/>
      <c r="AD141" s="551"/>
      <c r="AE141" s="551"/>
      <c r="AF141" s="552"/>
      <c r="AG141" s="157"/>
      <c r="AH141" s="116"/>
    </row>
    <row r="142" spans="1:34">
      <c r="A142" s="116"/>
      <c r="B142" s="121"/>
      <c r="O142" s="159" t="s">
        <v>619</v>
      </c>
      <c r="P142" s="25" t="s">
        <v>219</v>
      </c>
      <c r="T142" s="161" t="s">
        <v>621</v>
      </c>
      <c r="X142" s="550"/>
      <c r="Y142" s="551"/>
      <c r="Z142" s="551"/>
      <c r="AA142" s="551"/>
      <c r="AB142" s="551"/>
      <c r="AC142" s="551"/>
      <c r="AD142" s="551"/>
      <c r="AE142" s="551"/>
      <c r="AF142" s="552"/>
      <c r="AG142" s="157"/>
      <c r="AH142" s="116"/>
    </row>
    <row r="143" spans="1:34">
      <c r="A143" s="116"/>
      <c r="B143" s="121"/>
      <c r="O143" s="159" t="s">
        <v>619</v>
      </c>
      <c r="P143" s="25" t="s">
        <v>214</v>
      </c>
      <c r="T143" s="161" t="s">
        <v>621</v>
      </c>
      <c r="X143" s="550"/>
      <c r="Y143" s="551"/>
      <c r="Z143" s="551"/>
      <c r="AA143" s="551"/>
      <c r="AB143" s="551"/>
      <c r="AC143" s="551"/>
      <c r="AD143" s="551"/>
      <c r="AE143" s="551"/>
      <c r="AF143" s="552"/>
      <c r="AG143" s="157"/>
      <c r="AH143" s="116"/>
    </row>
    <row r="144" spans="1:34">
      <c r="A144" s="116"/>
      <c r="B144" s="121"/>
      <c r="O144" s="159" t="s">
        <v>619</v>
      </c>
      <c r="P144" s="25" t="s">
        <v>182</v>
      </c>
      <c r="T144" s="486" t="s">
        <v>2428</v>
      </c>
      <c r="X144" s="550"/>
      <c r="Y144" s="551"/>
      <c r="Z144" s="551"/>
      <c r="AA144" s="551"/>
      <c r="AB144" s="551"/>
      <c r="AC144" s="551"/>
      <c r="AD144" s="551"/>
      <c r="AE144" s="551"/>
      <c r="AF144" s="552"/>
      <c r="AG144" s="157"/>
      <c r="AH144" s="116"/>
    </row>
    <row r="145" spans="1:34">
      <c r="A145" s="116"/>
      <c r="B145" s="121"/>
      <c r="O145" s="159" t="s">
        <v>619</v>
      </c>
      <c r="P145" s="171" t="s">
        <v>2318</v>
      </c>
      <c r="T145" s="161" t="s">
        <v>621</v>
      </c>
      <c r="X145" s="550"/>
      <c r="Y145" s="551"/>
      <c r="Z145" s="551"/>
      <c r="AA145" s="551"/>
      <c r="AB145" s="551"/>
      <c r="AC145" s="551"/>
      <c r="AD145" s="551"/>
      <c r="AE145" s="551"/>
      <c r="AF145" s="552"/>
      <c r="AG145" s="157"/>
      <c r="AH145" s="116"/>
    </row>
    <row r="146" spans="1:34">
      <c r="A146" s="116"/>
      <c r="B146" s="121"/>
      <c r="O146" s="159" t="s">
        <v>619</v>
      </c>
      <c r="P146" s="171" t="s">
        <v>2317</v>
      </c>
      <c r="T146" s="161" t="s">
        <v>621</v>
      </c>
      <c r="X146" s="550"/>
      <c r="Y146" s="551"/>
      <c r="Z146" s="551"/>
      <c r="AA146" s="551"/>
      <c r="AB146" s="551"/>
      <c r="AC146" s="551"/>
      <c r="AD146" s="551"/>
      <c r="AE146" s="551"/>
      <c r="AF146" s="552"/>
      <c r="AG146" s="157"/>
      <c r="AH146" s="116"/>
    </row>
    <row r="147" spans="1:34">
      <c r="A147" s="116"/>
      <c r="B147" s="121"/>
      <c r="P147" s="158"/>
      <c r="X147" s="550"/>
      <c r="Y147" s="551"/>
      <c r="Z147" s="551"/>
      <c r="AA147" s="551"/>
      <c r="AB147" s="551"/>
      <c r="AC147" s="551"/>
      <c r="AD147" s="551"/>
      <c r="AE147" s="551"/>
      <c r="AF147" s="552"/>
      <c r="AG147" s="157"/>
      <c r="AH147" s="116"/>
    </row>
    <row r="148" spans="1:34">
      <c r="A148" s="116"/>
      <c r="B148" s="121"/>
      <c r="O148" s="159" t="s">
        <v>619</v>
      </c>
      <c r="P148" s="129" t="s">
        <v>633</v>
      </c>
      <c r="Q148" s="130"/>
      <c r="R148" s="130"/>
      <c r="S148" s="130"/>
      <c r="T148" s="130"/>
      <c r="U148" s="130"/>
      <c r="V148" s="130"/>
      <c r="X148" s="550"/>
      <c r="Y148" s="551"/>
      <c r="Z148" s="551"/>
      <c r="AA148" s="551"/>
      <c r="AB148" s="551"/>
      <c r="AC148" s="551"/>
      <c r="AD148" s="551"/>
      <c r="AE148" s="551"/>
      <c r="AF148" s="552"/>
      <c r="AG148" s="157"/>
      <c r="AH148" s="116"/>
    </row>
    <row r="149" spans="1:34">
      <c r="A149" s="116"/>
      <c r="B149" s="121"/>
      <c r="O149" s="159" t="s">
        <v>619</v>
      </c>
      <c r="P149" s="25" t="s">
        <v>634</v>
      </c>
      <c r="T149" s="161" t="s">
        <v>621</v>
      </c>
      <c r="X149" s="550"/>
      <c r="Y149" s="551"/>
      <c r="Z149" s="551"/>
      <c r="AA149" s="551"/>
      <c r="AB149" s="551"/>
      <c r="AC149" s="551"/>
      <c r="AD149" s="551"/>
      <c r="AE149" s="551"/>
      <c r="AF149" s="552"/>
      <c r="AG149" s="157"/>
      <c r="AH149" s="116"/>
    </row>
    <row r="150" spans="1:34">
      <c r="A150" s="116"/>
      <c r="B150" s="121"/>
      <c r="O150" s="159" t="s">
        <v>619</v>
      </c>
      <c r="P150" s="25" t="s">
        <v>311</v>
      </c>
      <c r="T150" s="161" t="s">
        <v>635</v>
      </c>
      <c r="X150" s="550"/>
      <c r="Y150" s="551"/>
      <c r="Z150" s="551"/>
      <c r="AA150" s="551"/>
      <c r="AB150" s="551"/>
      <c r="AC150" s="551"/>
      <c r="AD150" s="551"/>
      <c r="AE150" s="551"/>
      <c r="AF150" s="552"/>
      <c r="AG150" s="157"/>
      <c r="AH150" s="116"/>
    </row>
    <row r="151" spans="1:34">
      <c r="A151" s="116"/>
      <c r="B151" s="121"/>
      <c r="O151" s="159" t="s">
        <v>619</v>
      </c>
      <c r="P151" s="25" t="s">
        <v>325</v>
      </c>
      <c r="T151" s="161" t="s">
        <v>621</v>
      </c>
      <c r="X151" s="550"/>
      <c r="Y151" s="551"/>
      <c r="Z151" s="551"/>
      <c r="AA151" s="551"/>
      <c r="AB151" s="551"/>
      <c r="AC151" s="551"/>
      <c r="AD151" s="551"/>
      <c r="AE151" s="551"/>
      <c r="AF151" s="552"/>
      <c r="AG151" s="157"/>
      <c r="AH151" s="116"/>
    </row>
    <row r="152" spans="1:34">
      <c r="A152" s="116"/>
      <c r="B152" s="121"/>
      <c r="O152" s="159" t="s">
        <v>619</v>
      </c>
      <c r="P152" s="25" t="s">
        <v>333</v>
      </c>
      <c r="T152" s="487" t="s">
        <v>1841</v>
      </c>
      <c r="X152" s="550"/>
      <c r="Y152" s="551"/>
      <c r="Z152" s="551"/>
      <c r="AA152" s="551"/>
      <c r="AB152" s="551"/>
      <c r="AC152" s="551"/>
      <c r="AD152" s="551"/>
      <c r="AE152" s="551"/>
      <c r="AF152" s="552"/>
      <c r="AG152" s="157"/>
      <c r="AH152" s="116"/>
    </row>
    <row r="153" spans="1:34">
      <c r="A153" s="116"/>
      <c r="B153" s="121"/>
      <c r="O153" s="159"/>
      <c r="T153" s="160"/>
      <c r="X153" s="553"/>
      <c r="Y153" s="554"/>
      <c r="Z153" s="554"/>
      <c r="AA153" s="554"/>
      <c r="AB153" s="554"/>
      <c r="AC153" s="554"/>
      <c r="AD153" s="554"/>
      <c r="AE153" s="554"/>
      <c r="AF153" s="555"/>
      <c r="AG153" s="157"/>
      <c r="AH153" s="116"/>
    </row>
    <row r="154" spans="1:34">
      <c r="A154" s="116"/>
      <c r="B154" s="123"/>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t="s">
        <v>631</v>
      </c>
      <c r="Y154" s="124"/>
      <c r="Z154" s="124"/>
      <c r="AA154" s="124"/>
      <c r="AB154" s="124"/>
      <c r="AC154" s="124"/>
      <c r="AD154" s="124"/>
      <c r="AE154" s="124"/>
      <c r="AF154" s="124"/>
      <c r="AG154" s="125"/>
      <c r="AH154" s="116"/>
    </row>
    <row r="155" spans="1:34">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24" customHeight="1">
      <c r="A156" s="116"/>
      <c r="B156" s="126" t="s">
        <v>2329</v>
      </c>
      <c r="C156" s="116"/>
      <c r="D156" s="116"/>
      <c r="E156" s="116"/>
      <c r="F156" s="116"/>
      <c r="G156" s="128" t="s">
        <v>26</v>
      </c>
      <c r="H156" s="128"/>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5.15" customHeight="1">
      <c r="A157" s="116"/>
      <c r="B157" s="126"/>
      <c r="C157" s="116"/>
      <c r="D157" s="116"/>
      <c r="E157" s="116"/>
      <c r="F157" s="116"/>
      <c r="G157" s="128"/>
      <c r="H157" s="128"/>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16"/>
      <c r="B158" s="118"/>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20"/>
      <c r="AH158" s="116"/>
    </row>
    <row r="159" spans="1:34" ht="18" customHeight="1">
      <c r="A159" s="116"/>
      <c r="B159" s="121"/>
      <c r="C159" s="154" t="s">
        <v>606</v>
      </c>
      <c r="G159" s="154" t="s">
        <v>607</v>
      </c>
      <c r="P159" s="129" t="s">
        <v>608</v>
      </c>
      <c r="Q159" s="130"/>
      <c r="R159" s="129"/>
      <c r="S159" s="130"/>
      <c r="T159" s="131">
        <f>T58</f>
        <v>45716</v>
      </c>
      <c r="U159" s="131">
        <f>U58</f>
        <v>45723</v>
      </c>
      <c r="V159" s="132" t="s">
        <v>609</v>
      </c>
      <c r="X159" s="155" t="s">
        <v>610</v>
      </c>
      <c r="AG159" s="122"/>
      <c r="AH159" s="116"/>
    </row>
    <row r="160" spans="1:34">
      <c r="A160" s="116"/>
      <c r="B160" s="121"/>
      <c r="P160" s="25" t="s">
        <v>611</v>
      </c>
      <c r="T160" s="25">
        <f>COUNTIFS(Table4[Status Anterior],'1. Status Resumo FY24'!$P160,Table4[Sub-âmbito],'1. Status Resumo FY24'!$G$156,Table4[Tipo de teste],"2. Campo")</f>
        <v>4</v>
      </c>
      <c r="U160" s="25">
        <f>COUNTIFS(Table4[Status Atual],'1. Status Resumo FY24'!$P160,Table4[Sub-âmbito],'1. Status Resumo FY24'!$G$156,Table4[Tipo de teste],"2. Campo")</f>
        <v>4</v>
      </c>
      <c r="V160" s="25">
        <f t="shared" ref="V160:V195" si="8">U160-T160</f>
        <v>0</v>
      </c>
      <c r="X160" s="545" t="s">
        <v>2452</v>
      </c>
      <c r="Y160" s="546"/>
      <c r="Z160" s="546"/>
      <c r="AA160" s="546"/>
      <c r="AB160" s="546"/>
      <c r="AC160" s="546"/>
      <c r="AD160" s="546"/>
      <c r="AE160" s="546"/>
      <c r="AF160" s="546"/>
      <c r="AG160" s="162"/>
      <c r="AH160" s="116"/>
    </row>
    <row r="161" spans="1:34">
      <c r="A161" s="116"/>
      <c r="B161" s="121"/>
      <c r="C161" s="430" t="s">
        <v>2373</v>
      </c>
      <c r="D161" s="429"/>
      <c r="E161" s="429"/>
      <c r="P161" s="375" t="s">
        <v>2366</v>
      </c>
      <c r="Q161" s="376"/>
      <c r="R161" s="376"/>
      <c r="S161" s="376"/>
      <c r="T161" s="446">
        <f>COUNTIFS(Table4[Status Anterior],'1. Status Resumo FY24'!$P160,Table4[Sub-âmbito],'1. Status Resumo FY24'!$G$156,Table4[Tipo de teste],"2. Campo",'2. Status Detalhe Campos FY24'!$U$7:$U$740,"*Plano anterior*")</f>
        <v>4</v>
      </c>
      <c r="U161" s="446">
        <f>COUNTIFS(Table4[Status Atual],'1. Status Resumo FY24'!$P160,Table4[Sub-âmbito],'1. Status Resumo FY24'!$G$156,Table4[Tipo de teste],"2. Campo",'2. Status Detalhe Campos FY24'!$U$7:$U$740,"*Plano anterior*")</f>
        <v>4</v>
      </c>
      <c r="V161" s="446">
        <f t="shared" si="8"/>
        <v>0</v>
      </c>
      <c r="X161" s="545"/>
      <c r="Y161" s="546"/>
      <c r="Z161" s="546"/>
      <c r="AA161" s="546"/>
      <c r="AB161" s="546"/>
      <c r="AC161" s="546"/>
      <c r="AD161" s="546"/>
      <c r="AE161" s="546"/>
      <c r="AF161" s="546"/>
      <c r="AG161" s="162"/>
      <c r="AH161" s="116"/>
    </row>
    <row r="162" spans="1:34">
      <c r="A162" s="116"/>
      <c r="B162" s="121"/>
      <c r="C162" s="428"/>
      <c r="P162" s="375" t="s">
        <v>2361</v>
      </c>
      <c r="Q162" s="376"/>
      <c r="R162" s="376"/>
      <c r="S162" s="376"/>
      <c r="T162" s="446">
        <f>COUNTIFS(Table4[Status Anterior],'1. Status Resumo FY24'!$P160,Table4[Sub-âmbito],'1. Status Resumo FY24'!$G$156,Table4[Tipo de teste],"2. Campo",'2. Status Detalhe Campos FY24'!$U$7:$U$740,"*Novo Plano*",'2. Status Detalhe Campos FY24'!$T$7:$T$740,"*Âmbito ESTR e (ou) LF*")</f>
        <v>0</v>
      </c>
      <c r="U162" s="446">
        <f>COUNTIFS(Table4[Status Atual],'1. Status Resumo FY24'!$P160,Table4[Sub-âmbito],'1. Status Resumo FY24'!$G$156,Table4[Tipo de teste],"2. Campo",'2. Status Detalhe Campos FY24'!$U$7:$U$740,"*Novo Plano*",'2. Status Detalhe Campos FY24'!$U$7:$U$740,"*Novo Plano*",'2. Status Detalhe Campos FY24'!$T$7:$T$740,"*Âmbito ESTR e (ou) LF*")</f>
        <v>0</v>
      </c>
      <c r="V162" s="446">
        <f t="shared" si="8"/>
        <v>0</v>
      </c>
      <c r="X162" s="545"/>
      <c r="Y162" s="546"/>
      <c r="Z162" s="546"/>
      <c r="AA162" s="546"/>
      <c r="AB162" s="546"/>
      <c r="AC162" s="546"/>
      <c r="AD162" s="546"/>
      <c r="AE162" s="546"/>
      <c r="AF162" s="546"/>
      <c r="AG162" s="162"/>
      <c r="AH162" s="116"/>
    </row>
    <row r="163" spans="1:34">
      <c r="A163" s="116"/>
      <c r="B163" s="121"/>
      <c r="P163" s="377" t="s">
        <v>2362</v>
      </c>
      <c r="Q163" s="378"/>
      <c r="R163" s="378"/>
      <c r="S163" s="378"/>
      <c r="T163" s="447">
        <f>COUNTIFS(Table4[Status Anterior],'1. Status Resumo FY24'!$P160,Table4[Sub-âmbito],'1. Status Resumo FY24'!$G$156,Table4[Tipo de teste],"2. Campo",'2. Status Detalhe Campos FY24'!$U$7:$U$740,"*Novo Plano*",'2. Status Detalhe Campos FY24'!$T$7:$T$740,"*Outros*")</f>
        <v>0</v>
      </c>
      <c r="U163" s="447">
        <f>COUNTIFS(Table4[Status Atual],'1. Status Resumo FY24'!$P160,Table4[Sub-âmbito],'1. Status Resumo FY24'!$G$156,Table4[Tipo de teste],"2. Campo",'2. Status Detalhe Campos FY24'!$U$7:$U$740,"*Novo Plano*",'2. Status Detalhe Campos FY24'!$U$7:$U$740,"*Novo Plano*",'2. Status Detalhe Campos FY24'!$T$7:$T$740,"*Outros*")</f>
        <v>0</v>
      </c>
      <c r="V163" s="447">
        <f t="shared" si="8"/>
        <v>0</v>
      </c>
      <c r="X163" s="545"/>
      <c r="Y163" s="546"/>
      <c r="Z163" s="546"/>
      <c r="AA163" s="546"/>
      <c r="AB163" s="546"/>
      <c r="AC163" s="546"/>
      <c r="AD163" s="546"/>
      <c r="AE163" s="546"/>
      <c r="AF163" s="546"/>
      <c r="AG163" s="162"/>
      <c r="AH163" s="116"/>
    </row>
    <row r="164" spans="1:34">
      <c r="A164" s="116"/>
      <c r="B164" s="121"/>
      <c r="P164" s="25" t="s">
        <v>612</v>
      </c>
      <c r="T164" s="25">
        <f>COUNTIFS(Table4[Status Anterior],'1. Status Resumo FY24'!$P164,Table4[Sub-âmbito],'1. Status Resumo FY24'!$G$156,Table4[Tipo de teste],"2. Campo")</f>
        <v>116</v>
      </c>
      <c r="U164" s="25">
        <f>COUNTIFS(Table4[Status Atual],'1. Status Resumo FY24'!$P164,Table4[Sub-âmbito],'1. Status Resumo FY24'!$G$156,Table4[Tipo de teste],"2. Campo")</f>
        <v>116</v>
      </c>
      <c r="V164" s="25">
        <f t="shared" si="8"/>
        <v>0</v>
      </c>
      <c r="X164" s="546"/>
      <c r="Y164" s="546"/>
      <c r="Z164" s="546"/>
      <c r="AA164" s="546"/>
      <c r="AB164" s="546"/>
      <c r="AC164" s="546"/>
      <c r="AD164" s="546"/>
      <c r="AE164" s="546"/>
      <c r="AF164" s="546"/>
      <c r="AG164" s="162"/>
      <c r="AH164" s="116"/>
    </row>
    <row r="165" spans="1:34">
      <c r="A165" s="116"/>
      <c r="B165" s="121"/>
      <c r="P165" s="375" t="s">
        <v>2366</v>
      </c>
      <c r="Q165" s="376"/>
      <c r="R165" s="376"/>
      <c r="S165" s="376"/>
      <c r="T165" s="446">
        <f>COUNTIFS(Table4[Status Anterior],'1. Status Resumo FY24'!$P164,Table4[Sub-âmbito],'1. Status Resumo FY24'!$G$156,Table4[Tipo de teste],"2. Campo",'2. Status Detalhe Campos FY24'!$U$7:$U$740,"*Plano anterior*")</f>
        <v>115</v>
      </c>
      <c r="U165" s="446">
        <f>COUNTIFS(Table4[Status Atual],'1. Status Resumo FY24'!$P164,Table4[Sub-âmbito],'1. Status Resumo FY24'!$G$156,Table4[Tipo de teste],"2. Campo",'2. Status Detalhe Campos FY24'!$U$7:$U$740,"*Plano anterior*")</f>
        <v>115</v>
      </c>
      <c r="V165" s="446">
        <f t="shared" si="8"/>
        <v>0</v>
      </c>
      <c r="X165" s="546"/>
      <c r="Y165" s="546"/>
      <c r="Z165" s="546"/>
      <c r="AA165" s="546"/>
      <c r="AB165" s="546"/>
      <c r="AC165" s="546"/>
      <c r="AD165" s="546"/>
      <c r="AE165" s="546"/>
      <c r="AF165" s="546"/>
      <c r="AG165" s="162"/>
      <c r="AH165" s="116"/>
    </row>
    <row r="166" spans="1:34">
      <c r="A166" s="116"/>
      <c r="B166" s="121"/>
      <c r="P166" s="375" t="s">
        <v>2361</v>
      </c>
      <c r="Q166" s="376"/>
      <c r="R166" s="376"/>
      <c r="S166" s="376"/>
      <c r="T166" s="446">
        <f>COUNTIFS(Table4[Status Anterior],'1. Status Resumo FY24'!$P164,Table4[Sub-âmbito],'1. Status Resumo FY24'!$G$156,Table4[Tipo de teste],"2. Campo",'2. Status Detalhe Campos FY24'!$U$7:$U$740,"*Novo Plano*",'2. Status Detalhe Campos FY24'!$T$7:$T$740,"*Âmbito ESTR e (ou) LF*")</f>
        <v>0</v>
      </c>
      <c r="U166" s="446">
        <f>COUNTIFS(Table4[Status Atual],'1. Status Resumo FY24'!$P164,Table4[Sub-âmbito],'1. Status Resumo FY24'!$G$156,Table4[Tipo de teste],"2. Campo",'2. Status Detalhe Campos FY24'!$U$7:$U$740,"*Novo Plano*",'2. Status Detalhe Campos FY24'!$U$7:$U$740,"*Novo Plano*",'2. Status Detalhe Campos FY24'!$T$7:$T$740,"*Âmbito ESTR e (ou) LF*")</f>
        <v>0</v>
      </c>
      <c r="V166" s="446">
        <f t="shared" si="8"/>
        <v>0</v>
      </c>
      <c r="X166" s="546"/>
      <c r="Y166" s="546"/>
      <c r="Z166" s="546"/>
      <c r="AA166" s="546"/>
      <c r="AB166" s="546"/>
      <c r="AC166" s="546"/>
      <c r="AD166" s="546"/>
      <c r="AE166" s="546"/>
      <c r="AF166" s="546"/>
      <c r="AG166" s="162"/>
      <c r="AH166" s="116"/>
    </row>
    <row r="167" spans="1:34">
      <c r="A167" s="116"/>
      <c r="B167" s="121"/>
      <c r="P167" s="377" t="s">
        <v>2362</v>
      </c>
      <c r="Q167" s="378"/>
      <c r="R167" s="378"/>
      <c r="S167" s="378"/>
      <c r="T167" s="447">
        <f>COUNTIFS(Table4[Status Anterior],'1. Status Resumo FY24'!$P164,Table4[Sub-âmbito],'1. Status Resumo FY24'!$G$156,Table4[Tipo de teste],"2. Campo",'2. Status Detalhe Campos FY24'!$U$7:$U$740,"*Novo Plano*",'2. Status Detalhe Campos FY24'!$T$7:$T$740,"*Outros*")</f>
        <v>1</v>
      </c>
      <c r="U167" s="447">
        <f>COUNTIFS(Table4[Status Atual],'1. Status Resumo FY24'!$P164,Table4[Sub-âmbito],'1. Status Resumo FY24'!$G$156,Table4[Tipo de teste],"2. Campo",'2. Status Detalhe Campos FY24'!$U$7:$U$740,"*Novo Plano*",'2. Status Detalhe Campos FY24'!$U$7:$U$740,"*Novo Plano*",'2. Status Detalhe Campos FY24'!$T$7:$T$740,"*Outros*")</f>
        <v>1</v>
      </c>
      <c r="V167" s="447">
        <f t="shared" si="8"/>
        <v>0</v>
      </c>
      <c r="X167" s="546"/>
      <c r="Y167" s="546"/>
      <c r="Z167" s="546"/>
      <c r="AA167" s="546"/>
      <c r="AB167" s="546"/>
      <c r="AC167" s="546"/>
      <c r="AD167" s="546"/>
      <c r="AE167" s="546"/>
      <c r="AF167" s="546"/>
      <c r="AG167" s="162"/>
      <c r="AH167" s="116"/>
    </row>
    <row r="168" spans="1:34" ht="17.899999999999999" customHeight="1">
      <c r="A168" s="116"/>
      <c r="B168" s="121"/>
      <c r="P168" s="25" t="s">
        <v>1840</v>
      </c>
      <c r="T168" s="25">
        <f>COUNTIFS(Table4[Status Anterior],'1. Status Resumo FY24'!$P168,Table4[Sub-âmbito],'1. Status Resumo FY24'!$G$156,Table4[Tipo de teste],"2. Campo")</f>
        <v>0</v>
      </c>
      <c r="U168" s="25">
        <f>COUNTIFS(Table4[Status Atual],'1. Status Resumo FY24'!$P168,Table4[Sub-âmbito],'1. Status Resumo FY24'!$G$156,Table4[Tipo de teste],"2. Campo")</f>
        <v>0</v>
      </c>
      <c r="V168" s="25">
        <f t="shared" si="8"/>
        <v>0</v>
      </c>
      <c r="X168" s="546"/>
      <c r="Y168" s="546"/>
      <c r="Z168" s="546"/>
      <c r="AA168" s="546"/>
      <c r="AB168" s="546"/>
      <c r="AC168" s="546"/>
      <c r="AD168" s="546"/>
      <c r="AE168" s="546"/>
      <c r="AF168" s="546"/>
      <c r="AG168" s="162"/>
      <c r="AH168" s="116"/>
    </row>
    <row r="169" spans="1:34" ht="17.899999999999999" customHeight="1">
      <c r="A169" s="116"/>
      <c r="B169" s="121"/>
      <c r="E169" s="533" t="str">
        <f>+"#"&amp;SUM($U$198:$U$199)</f>
        <v>#71</v>
      </c>
      <c r="P169" s="375" t="s">
        <v>2366</v>
      </c>
      <c r="Q169" s="376"/>
      <c r="R169" s="376"/>
      <c r="S169" s="376"/>
      <c r="T169" s="446">
        <f>COUNTIFS(Table4[Status Anterior],'1. Status Resumo FY24'!$P168,Table4[Sub-âmbito],'1. Status Resumo FY24'!$G$156,Table4[Tipo de teste],"2. Campo",'2. Status Detalhe Campos FY24'!$U$7:$U$740,"*Plano anterior*")</f>
        <v>0</v>
      </c>
      <c r="U169" s="446">
        <f>COUNTIFS(Table4[Status Atual],'1. Status Resumo FY24'!$P168,Table4[Sub-âmbito],'1. Status Resumo FY24'!$G$156,Table4[Tipo de teste],"2. Campo",'2. Status Detalhe Campos FY24'!$U$7:$U$740,"*Plano anterior*")</f>
        <v>0</v>
      </c>
      <c r="V169" s="446">
        <f t="shared" si="8"/>
        <v>0</v>
      </c>
      <c r="X169" s="546"/>
      <c r="Y169" s="546"/>
      <c r="Z169" s="546"/>
      <c r="AA169" s="546"/>
      <c r="AB169" s="546"/>
      <c r="AC169" s="546"/>
      <c r="AD169" s="546"/>
      <c r="AE169" s="546"/>
      <c r="AF169" s="546"/>
      <c r="AG169" s="162"/>
      <c r="AH169" s="116"/>
    </row>
    <row r="170" spans="1:34" ht="17.899999999999999" customHeight="1">
      <c r="A170" s="116"/>
      <c r="B170" s="121"/>
      <c r="E170" s="533"/>
      <c r="P170" s="375" t="s">
        <v>2361</v>
      </c>
      <c r="Q170" s="376"/>
      <c r="R170" s="376"/>
      <c r="S170" s="376"/>
      <c r="T170" s="446">
        <f>COUNTIFS(Table4[Status Anterior],'1. Status Resumo FY24'!$P168,Table4[Sub-âmbito],'1. Status Resumo FY24'!$G$156,Table4[Tipo de teste],"2. Campo",'2. Status Detalhe Campos FY24'!$U$7:$U$740,"*Novo Plano*",'2. Status Detalhe Campos FY24'!$T$7:$T$740,"*Âmbito ESTR e (ou) LF*")</f>
        <v>0</v>
      </c>
      <c r="U170" s="446">
        <f>COUNTIFS(Table4[Status Atual],'1. Status Resumo FY24'!$P168,Table4[Sub-âmbito],'1. Status Resumo FY24'!$G$156,Table4[Tipo de teste],"2. Campo",'2. Status Detalhe Campos FY24'!$U$7:$U$740,"*Novo Plano*",'2. Status Detalhe Campos FY24'!$U$7:$U$740,"*Novo Plano*",'2. Status Detalhe Campos FY24'!$T$7:$T$740,"*Âmbito ESTR e (ou) LF*")</f>
        <v>0</v>
      </c>
      <c r="V170" s="446">
        <f t="shared" si="8"/>
        <v>0</v>
      </c>
      <c r="X170" s="546"/>
      <c r="Y170" s="546"/>
      <c r="Z170" s="546"/>
      <c r="AA170" s="546"/>
      <c r="AB170" s="546"/>
      <c r="AC170" s="546"/>
      <c r="AD170" s="546"/>
      <c r="AE170" s="546"/>
      <c r="AF170" s="546"/>
      <c r="AG170" s="162"/>
      <c r="AH170" s="116"/>
    </row>
    <row r="171" spans="1:34" ht="17.899999999999999" customHeight="1">
      <c r="A171" s="116"/>
      <c r="B171" s="121"/>
      <c r="E171" s="533"/>
      <c r="P171" s="377" t="s">
        <v>2362</v>
      </c>
      <c r="Q171" s="378"/>
      <c r="R171" s="378"/>
      <c r="S171" s="378"/>
      <c r="T171" s="447">
        <f>COUNTIFS(Table4[Status Anterior],'1. Status Resumo FY24'!$P168,Table4[Sub-âmbito],'1. Status Resumo FY24'!$G$156,Table4[Tipo de teste],"2. Campo",'2. Status Detalhe Campos FY24'!$U$7:$U$740,"*Novo Plano*",'2. Status Detalhe Campos FY24'!$T$7:$T$740,"*Outros*")</f>
        <v>0</v>
      </c>
      <c r="U171" s="447">
        <f>COUNTIFS(Table4[Status Atual],'1. Status Resumo FY24'!$P168,Table4[Sub-âmbito],'1. Status Resumo FY24'!$G$156,Table4[Tipo de teste],"2. Campo",'2. Status Detalhe Campos FY24'!$U$7:$U$740,"*Novo Plano*",'2. Status Detalhe Campos FY24'!$U$7:$U$740,"*Novo Plano*",'2. Status Detalhe Campos FY24'!$T$7:$T$740,"*Outros*")</f>
        <v>0</v>
      </c>
      <c r="V171" s="447">
        <f t="shared" si="8"/>
        <v>0</v>
      </c>
      <c r="X171" s="546"/>
      <c r="Y171" s="546"/>
      <c r="Z171" s="546"/>
      <c r="AA171" s="546"/>
      <c r="AB171" s="546"/>
      <c r="AC171" s="546"/>
      <c r="AD171" s="546"/>
      <c r="AE171" s="546"/>
      <c r="AF171" s="546"/>
      <c r="AG171" s="162"/>
      <c r="AH171" s="116"/>
    </row>
    <row r="172" spans="1:34" ht="17.899999999999999" customHeight="1">
      <c r="A172" s="116"/>
      <c r="B172" s="121"/>
      <c r="D172" s="427"/>
      <c r="E172" s="427"/>
      <c r="P172" s="25" t="s">
        <v>2319</v>
      </c>
      <c r="T172" s="25">
        <f>COUNTIFS(Table4[Status Anterior],'1. Status Resumo FY24'!$P172,Table4[Sub-âmbito],'1. Status Resumo FY24'!$G$156,Table4[Tipo de teste],"2. Campo")</f>
        <v>0</v>
      </c>
      <c r="U172" s="25">
        <f>COUNTIFS(Table4[Status Atual],'1. Status Resumo FY24'!$P172,Table4[Sub-âmbito],'1. Status Resumo FY24'!$G$156,Table4[Tipo de teste],"2. Campo")</f>
        <v>0</v>
      </c>
      <c r="V172" s="25">
        <f t="shared" si="8"/>
        <v>0</v>
      </c>
      <c r="X172" s="546"/>
      <c r="Y172" s="546"/>
      <c r="Z172" s="546"/>
      <c r="AA172" s="546"/>
      <c r="AB172" s="546"/>
      <c r="AC172" s="546"/>
      <c r="AD172" s="546"/>
      <c r="AE172" s="546"/>
      <c r="AF172" s="546"/>
      <c r="AG172" s="162"/>
      <c r="AH172" s="116"/>
    </row>
    <row r="173" spans="1:34" ht="17.899999999999999" customHeight="1">
      <c r="A173" s="116"/>
      <c r="B173" s="121"/>
      <c r="D173" s="427"/>
      <c r="E173" s="427"/>
      <c r="P173" s="375" t="s">
        <v>2366</v>
      </c>
      <c r="Q173" s="376"/>
      <c r="R173" s="376"/>
      <c r="S173" s="376"/>
      <c r="T173" s="446">
        <f>COUNTIFS(Table4[Status Anterior],'1. Status Resumo FY24'!$P172,Table4[Sub-âmbito],'1. Status Resumo FY24'!$G$156,Table4[Tipo de teste],"2. Campo",'2. Status Detalhe Campos FY24'!$U$7:$U$740,"*Plano anterior*")</f>
        <v>0</v>
      </c>
      <c r="U173" s="446">
        <f>COUNTIFS(Table4[Status Atual],'1. Status Resumo FY24'!$P172,Table4[Sub-âmbito],'1. Status Resumo FY24'!$G$156,Table4[Tipo de teste],"2. Campo",'2. Status Detalhe Campos FY24'!$U$7:$U$740,"*Plano anterior*")</f>
        <v>0</v>
      </c>
      <c r="V173" s="446">
        <f t="shared" si="8"/>
        <v>0</v>
      </c>
      <c r="X173" s="546"/>
      <c r="Y173" s="546"/>
      <c r="Z173" s="546"/>
      <c r="AA173" s="546"/>
      <c r="AB173" s="546"/>
      <c r="AC173" s="546"/>
      <c r="AD173" s="546"/>
      <c r="AE173" s="546"/>
      <c r="AF173" s="546"/>
      <c r="AG173" s="162"/>
      <c r="AH173" s="116"/>
    </row>
    <row r="174" spans="1:34" ht="17.899999999999999" customHeight="1">
      <c r="A174" s="116"/>
      <c r="B174" s="121"/>
      <c r="D174" s="427"/>
      <c r="E174" s="427"/>
      <c r="P174" s="375" t="s">
        <v>2361</v>
      </c>
      <c r="Q174" s="376"/>
      <c r="R174" s="376"/>
      <c r="S174" s="376"/>
      <c r="T174" s="446">
        <f>COUNTIFS(Table4[Status Anterior],'1. Status Resumo FY24'!$P172,Table4[Sub-âmbito],'1. Status Resumo FY24'!$G$156,Table4[Tipo de teste],"2. Campo",'2. Status Detalhe Campos FY24'!$U$7:$U$740,"*Novo Plano*",'2. Status Detalhe Campos FY24'!$T$7:$T$740,"*Âmbito ESTR e (ou) LF*")</f>
        <v>0</v>
      </c>
      <c r="U174" s="446">
        <f>COUNTIFS(Table4[Status Atual],'1. Status Resumo FY24'!$P172,Table4[Sub-âmbito],'1. Status Resumo FY24'!$G$156,Table4[Tipo de teste],"2. Campo",'2. Status Detalhe Campos FY24'!$U$7:$U$740,"*Novo Plano*",'2. Status Detalhe Campos FY24'!$U$7:$U$740,"*Novo Plano*",'2. Status Detalhe Campos FY24'!$T$7:$T$740,"*Âmbito ESTR e (ou) LF*")</f>
        <v>0</v>
      </c>
      <c r="V174" s="446">
        <f t="shared" si="8"/>
        <v>0</v>
      </c>
      <c r="X174" s="546"/>
      <c r="Y174" s="546"/>
      <c r="Z174" s="546"/>
      <c r="AA174" s="546"/>
      <c r="AB174" s="546"/>
      <c r="AC174" s="546"/>
      <c r="AD174" s="546"/>
      <c r="AE174" s="546"/>
      <c r="AF174" s="546"/>
      <c r="AG174" s="162"/>
      <c r="AH174" s="116"/>
    </row>
    <row r="175" spans="1:34" ht="17.899999999999999" customHeight="1">
      <c r="A175" s="116"/>
      <c r="B175" s="121"/>
      <c r="D175" s="427"/>
      <c r="E175" s="427"/>
      <c r="P175" s="377" t="s">
        <v>2362</v>
      </c>
      <c r="Q175" s="378"/>
      <c r="R175" s="378"/>
      <c r="S175" s="378"/>
      <c r="T175" s="447">
        <f>COUNTIFS(Table4[Status Anterior],'1. Status Resumo FY24'!$P172,Table4[Sub-âmbito],'1. Status Resumo FY24'!$G$156,Table4[Tipo de teste],"2. Campo",'2. Status Detalhe Campos FY24'!$U$7:$U$740,"*Novo Plano*",'2. Status Detalhe Campos FY24'!$T$7:$T$740,"*Outros*")</f>
        <v>0</v>
      </c>
      <c r="U175" s="447">
        <f>COUNTIFS(Table4[Status Atual],'1. Status Resumo FY24'!$P172,Table4[Sub-âmbito],'1. Status Resumo FY24'!$G$156,Table4[Tipo de teste],"2. Campo",'2. Status Detalhe Campos FY24'!$U$7:$U$740,"*Novo Plano*",'2. Status Detalhe Campos FY24'!$U$7:$U$740,"*Novo Plano*",'2. Status Detalhe Campos FY24'!$T$7:$T$740,"*Outros*")</f>
        <v>0</v>
      </c>
      <c r="V175" s="447">
        <f t="shared" si="8"/>
        <v>0</v>
      </c>
      <c r="X175" s="546"/>
      <c r="Y175" s="546"/>
      <c r="Z175" s="546"/>
      <c r="AA175" s="546"/>
      <c r="AB175" s="546"/>
      <c r="AC175" s="546"/>
      <c r="AD175" s="546"/>
      <c r="AE175" s="546"/>
      <c r="AF175" s="546"/>
      <c r="AG175" s="162"/>
      <c r="AH175" s="116"/>
    </row>
    <row r="176" spans="1:34" ht="17.25" customHeight="1">
      <c r="A176" s="116"/>
      <c r="B176" s="121"/>
      <c r="D176" s="427"/>
      <c r="E176" s="427"/>
      <c r="P176" s="25" t="s">
        <v>613</v>
      </c>
      <c r="T176" s="25">
        <f>COUNTIFS(Table4[Status Anterior],'1. Status Resumo FY24'!$P176,Table4[Sub-âmbito],'1. Status Resumo FY24'!$G$156,Table4[Tipo de teste],"2. Campo")</f>
        <v>0</v>
      </c>
      <c r="U176" s="25">
        <f>COUNTIFS(Table4[Status Atual],'1. Status Resumo FY24'!$P176,Table4[Sub-âmbito],'1. Status Resumo FY24'!$G$156,Table4[Tipo de teste],"2. Campo")</f>
        <v>0</v>
      </c>
      <c r="V176" s="25">
        <f t="shared" si="8"/>
        <v>0</v>
      </c>
      <c r="X176" s="546"/>
      <c r="Y176" s="546"/>
      <c r="Z176" s="546"/>
      <c r="AA176" s="546"/>
      <c r="AB176" s="546"/>
      <c r="AC176" s="546"/>
      <c r="AD176" s="546"/>
      <c r="AE176" s="546"/>
      <c r="AF176" s="546"/>
      <c r="AG176" s="162"/>
      <c r="AH176" s="116"/>
    </row>
    <row r="177" spans="1:34" ht="17.25" customHeight="1">
      <c r="A177" s="116"/>
      <c r="B177" s="121"/>
      <c r="D177" s="427"/>
      <c r="E177" s="427"/>
      <c r="P177" s="375" t="s">
        <v>2366</v>
      </c>
      <c r="Q177" s="376"/>
      <c r="R177" s="376"/>
      <c r="S177" s="376"/>
      <c r="T177" s="446">
        <f>COUNTIFS(Table4[Status Anterior],'1. Status Resumo FY24'!$P176,Table4[Sub-âmbito],'1. Status Resumo FY24'!$G$156,Table4[Tipo de teste],"2. Campo",'2. Status Detalhe Campos FY24'!$U$7:$U$740,"*Plano anterior*")</f>
        <v>0</v>
      </c>
      <c r="U177" s="446">
        <f>COUNTIFS(Table4[Status Atual],'1. Status Resumo FY24'!$P176,Table4[Sub-âmbito],'1. Status Resumo FY24'!$G$156,Table4[Tipo de teste],"2. Campo",'2. Status Detalhe Campos FY24'!$U$7:$U$740,"*Plano anterior*")</f>
        <v>0</v>
      </c>
      <c r="V177" s="446">
        <f t="shared" si="8"/>
        <v>0</v>
      </c>
      <c r="X177" s="546"/>
      <c r="Y177" s="546"/>
      <c r="Z177" s="546"/>
      <c r="AA177" s="546"/>
      <c r="AB177" s="546"/>
      <c r="AC177" s="546"/>
      <c r="AD177" s="546"/>
      <c r="AE177" s="546"/>
      <c r="AF177" s="546"/>
      <c r="AG177" s="162"/>
      <c r="AH177" s="116"/>
    </row>
    <row r="178" spans="1:34" ht="17.25" customHeight="1">
      <c r="A178" s="116"/>
      <c r="B178" s="121"/>
      <c r="D178" s="427"/>
      <c r="E178" s="427"/>
      <c r="P178" s="375" t="s">
        <v>2361</v>
      </c>
      <c r="Q178" s="376"/>
      <c r="R178" s="376"/>
      <c r="S178" s="376"/>
      <c r="T178" s="446">
        <f>COUNTIFS(Table4[Status Anterior],'1. Status Resumo FY24'!$P176,Table4[Sub-âmbito],'1. Status Resumo FY24'!$G$156,Table4[Tipo de teste],"2. Campo",'2. Status Detalhe Campos FY24'!$U$7:$U$740,"*Novo Plano*",'2. Status Detalhe Campos FY24'!$T$7:$T$740,"*Âmbito ESTR e (ou) LF*")</f>
        <v>0</v>
      </c>
      <c r="U178" s="446">
        <f>COUNTIFS(Table4[Status Atual],'1. Status Resumo FY24'!$P176,Table4[Sub-âmbito],'1. Status Resumo FY24'!$G$156,Table4[Tipo de teste],"2. Campo",'2. Status Detalhe Campos FY24'!$U$7:$U$740,"*Novo Plano*",'2. Status Detalhe Campos FY24'!$U$7:$U$740,"*Novo Plano*",'2. Status Detalhe Campos FY24'!$T$7:$T$740,"*Âmbito ESTR e (ou) LF*")</f>
        <v>0</v>
      </c>
      <c r="V178" s="446">
        <f t="shared" si="8"/>
        <v>0</v>
      </c>
      <c r="X178" s="546"/>
      <c r="Y178" s="546"/>
      <c r="Z178" s="546"/>
      <c r="AA178" s="546"/>
      <c r="AB178" s="546"/>
      <c r="AC178" s="546"/>
      <c r="AD178" s="546"/>
      <c r="AE178" s="546"/>
      <c r="AF178" s="546"/>
      <c r="AG178" s="162"/>
      <c r="AH178" s="116"/>
    </row>
    <row r="179" spans="1:34" ht="17.25" customHeight="1">
      <c r="A179" s="116"/>
      <c r="B179" s="121"/>
      <c r="D179" s="427"/>
      <c r="E179" s="427"/>
      <c r="P179" s="377" t="s">
        <v>2362</v>
      </c>
      <c r="Q179" s="378"/>
      <c r="R179" s="378"/>
      <c r="S179" s="378"/>
      <c r="T179" s="447">
        <f>COUNTIFS(Table4[Status Anterior],'1. Status Resumo FY24'!$P176,Table4[Sub-âmbito],'1. Status Resumo FY24'!$G$156,Table4[Tipo de teste],"2. Campo",'2. Status Detalhe Campos FY24'!$U$7:$U$740,"*Novo Plano*",'2. Status Detalhe Campos FY24'!$T$7:$T$740,"*Outros*")</f>
        <v>0</v>
      </c>
      <c r="U179" s="447">
        <f>COUNTIFS(Table4[Status Atual],'1. Status Resumo FY24'!$P176,Table4[Sub-âmbito],'1. Status Resumo FY24'!$G$156,Table4[Tipo de teste],"2. Campo",'2. Status Detalhe Campos FY24'!$U$7:$U$740,"*Novo Plano*",'2. Status Detalhe Campos FY24'!$U$7:$U$740,"*Novo Plano*",'2. Status Detalhe Campos FY24'!$T$7:$T$740,"*Outros*")</f>
        <v>0</v>
      </c>
      <c r="V179" s="447">
        <f t="shared" si="8"/>
        <v>0</v>
      </c>
      <c r="X179" s="546"/>
      <c r="Y179" s="546"/>
      <c r="Z179" s="546"/>
      <c r="AA179" s="546"/>
      <c r="AB179" s="546"/>
      <c r="AC179" s="546"/>
      <c r="AD179" s="546"/>
      <c r="AE179" s="546"/>
      <c r="AF179" s="546"/>
      <c r="AG179" s="162"/>
      <c r="AH179" s="116"/>
    </row>
    <row r="180" spans="1:34" ht="18.75" customHeight="1">
      <c r="A180" s="116"/>
      <c r="B180" s="121"/>
      <c r="D180" s="427"/>
      <c r="E180" s="427"/>
      <c r="P180" s="25" t="s">
        <v>614</v>
      </c>
      <c r="T180" s="25">
        <f>COUNTIFS(Table4[Status Anterior],'1. Status Resumo FY24'!$P180,Table4[Sub-âmbito],'1. Status Resumo FY24'!$G$156,Table4[Tipo de teste],"2. Campo")</f>
        <v>5</v>
      </c>
      <c r="U180" s="25">
        <f>COUNTIFS(Table4[Status Atual],'1. Status Resumo FY24'!$P180,Table4[Sub-âmbito],'1. Status Resumo FY24'!$G$156,Table4[Tipo de teste],"2. Campo")</f>
        <v>5</v>
      </c>
      <c r="V180" s="25">
        <f t="shared" si="8"/>
        <v>0</v>
      </c>
      <c r="X180" s="546"/>
      <c r="Y180" s="546"/>
      <c r="Z180" s="546"/>
      <c r="AA180" s="546"/>
      <c r="AB180" s="546"/>
      <c r="AC180" s="546"/>
      <c r="AD180" s="546"/>
      <c r="AE180" s="546"/>
      <c r="AF180" s="546"/>
      <c r="AG180" s="162"/>
      <c r="AH180" s="116"/>
    </row>
    <row r="181" spans="1:34" ht="18.75" customHeight="1">
      <c r="A181" s="116"/>
      <c r="B181" s="121"/>
      <c r="C181" s="430" t="s">
        <v>2374</v>
      </c>
      <c r="D181" s="427"/>
      <c r="E181" s="427"/>
      <c r="P181" s="375" t="s">
        <v>2366</v>
      </c>
      <c r="Q181" s="376"/>
      <c r="R181" s="376"/>
      <c r="S181" s="376"/>
      <c r="T181" s="446">
        <f>COUNTIFS(Table4[Status Anterior],'1. Status Resumo FY24'!$P180,Table4[Sub-âmbito],'1. Status Resumo FY24'!$G$156,Table4[Tipo de teste],"2. Campo",'2. Status Detalhe Campos FY24'!$U$7:$U$740,"*Plano anterior*")</f>
        <v>2</v>
      </c>
      <c r="U181" s="446">
        <f>COUNTIFS(Table4[Status Atual],'1. Status Resumo FY24'!$P180,Table4[Sub-âmbito],'1. Status Resumo FY24'!$G$156,Table4[Tipo de teste],"2. Campo",'2. Status Detalhe Campos FY24'!$U$7:$U$740,"*Plano anterior*")</f>
        <v>2</v>
      </c>
      <c r="V181" s="446">
        <f t="shared" si="8"/>
        <v>0</v>
      </c>
      <c r="X181" s="546"/>
      <c r="Y181" s="546"/>
      <c r="Z181" s="546"/>
      <c r="AA181" s="546"/>
      <c r="AB181" s="546"/>
      <c r="AC181" s="546"/>
      <c r="AD181" s="546"/>
      <c r="AE181" s="546"/>
      <c r="AF181" s="546"/>
      <c r="AG181" s="162"/>
      <c r="AH181" s="116"/>
    </row>
    <row r="182" spans="1:34" ht="18.75" customHeight="1">
      <c r="A182" s="116"/>
      <c r="B182" s="121"/>
      <c r="D182" s="427"/>
      <c r="E182" s="427"/>
      <c r="P182" s="375" t="s">
        <v>2361</v>
      </c>
      <c r="Q182" s="376"/>
      <c r="R182" s="376"/>
      <c r="S182" s="376"/>
      <c r="T182" s="446">
        <f>COUNTIFS(Table4[Status Anterior],'1. Status Resumo FY24'!$P180,Table4[Sub-âmbito],'1. Status Resumo FY24'!$G$156,Table4[Tipo de teste],"2. Campo",'2. Status Detalhe Campos FY24'!$U$7:$U$740,"*Novo Plano*",'2. Status Detalhe Campos FY24'!$T$7:$T$740,"*Âmbito ESTR e (ou) LF*")</f>
        <v>0</v>
      </c>
      <c r="U182" s="446">
        <f>COUNTIFS(Table4[Status Atual],'1. Status Resumo FY24'!$P180,Table4[Sub-âmbito],'1. Status Resumo FY24'!$G$156,Table4[Tipo de teste],"2. Campo",'2. Status Detalhe Campos FY24'!$U$7:$U$740,"*Novo Plano*",'2. Status Detalhe Campos FY24'!$U$7:$U$740,"*Novo Plano*",'2. Status Detalhe Campos FY24'!$T$7:$T$740,"*Âmbito ESTR e (ou) LF*")</f>
        <v>0</v>
      </c>
      <c r="V182" s="446">
        <f t="shared" si="8"/>
        <v>0</v>
      </c>
      <c r="X182" s="546"/>
      <c r="Y182" s="546"/>
      <c r="Z182" s="546"/>
      <c r="AA182" s="546"/>
      <c r="AB182" s="546"/>
      <c r="AC182" s="546"/>
      <c r="AD182" s="546"/>
      <c r="AE182" s="546"/>
      <c r="AF182" s="546"/>
      <c r="AG182" s="162"/>
      <c r="AH182" s="116"/>
    </row>
    <row r="183" spans="1:34" ht="18.75" customHeight="1">
      <c r="A183" s="116"/>
      <c r="B183" s="121"/>
      <c r="D183" s="427"/>
      <c r="E183" s="427"/>
      <c r="P183" s="377" t="s">
        <v>2362</v>
      </c>
      <c r="Q183" s="378"/>
      <c r="R183" s="378"/>
      <c r="S183" s="378"/>
      <c r="T183" s="447">
        <f>COUNTIFS(Table4[Status Anterior],'1. Status Resumo FY24'!$P180,Table4[Sub-âmbito],'1. Status Resumo FY24'!$G$156,Table4[Tipo de teste],"2. Campo",'2. Status Detalhe Campos FY24'!$U$7:$U$740,"*Novo Plano*",'2. Status Detalhe Campos FY24'!$T$7:$T$740,"*Outros*")</f>
        <v>3</v>
      </c>
      <c r="U183" s="447">
        <f>COUNTIFS(Table4[Status Atual],'1. Status Resumo FY24'!$P180,Table4[Sub-âmbito],'1. Status Resumo FY24'!$G$156,Table4[Tipo de teste],"2. Campo",'2. Status Detalhe Campos FY24'!$U$7:$U$740,"*Novo Plano*",'2. Status Detalhe Campos FY24'!$U$7:$U$740,"*Novo Plano*",'2. Status Detalhe Campos FY24'!$T$7:$T$740,"*Outros*")</f>
        <v>3</v>
      </c>
      <c r="V183" s="447">
        <f t="shared" si="8"/>
        <v>0</v>
      </c>
      <c r="X183" s="546"/>
      <c r="Y183" s="546"/>
      <c r="Z183" s="546"/>
      <c r="AA183" s="546"/>
      <c r="AB183" s="546"/>
      <c r="AC183" s="546"/>
      <c r="AD183" s="546"/>
      <c r="AE183" s="546"/>
      <c r="AF183" s="546"/>
      <c r="AG183" s="162"/>
      <c r="AH183" s="116"/>
    </row>
    <row r="184" spans="1:34" ht="18.75" customHeight="1">
      <c r="A184" s="116"/>
      <c r="B184" s="121"/>
      <c r="D184" s="427"/>
      <c r="E184" s="427"/>
      <c r="P184" s="25" t="s">
        <v>615</v>
      </c>
      <c r="R184" s="25" t="s">
        <v>616</v>
      </c>
      <c r="T184" s="25">
        <f>COUNTIFS(Table4[Status Anterior],'1. Status Resumo FY24'!$P184,Table4[Sub-âmbito],'1. Status Resumo FY24'!$G$156,Table4[Tipo de teste],"2. Campo")</f>
        <v>0</v>
      </c>
      <c r="U184" s="25">
        <f>COUNTIFS(Table4[Status Atual],'1. Status Resumo FY24'!$P184,Table4[Sub-âmbito],'1. Status Resumo FY24'!$G$156,Table4[Tipo de teste],"2. Campo")</f>
        <v>0</v>
      </c>
      <c r="V184" s="25">
        <f t="shared" si="8"/>
        <v>0</v>
      </c>
      <c r="X184" s="546"/>
      <c r="Y184" s="546"/>
      <c r="Z184" s="546"/>
      <c r="AA184" s="546"/>
      <c r="AB184" s="546"/>
      <c r="AC184" s="546"/>
      <c r="AD184" s="546"/>
      <c r="AE184" s="546"/>
      <c r="AF184" s="546"/>
      <c r="AG184" s="162"/>
      <c r="AH184" s="116"/>
    </row>
    <row r="185" spans="1:34" ht="18.75" customHeight="1">
      <c r="A185" s="116"/>
      <c r="B185" s="121"/>
      <c r="D185" s="427"/>
      <c r="E185" s="427"/>
      <c r="P185" s="375" t="s">
        <v>2366</v>
      </c>
      <c r="Q185" s="376"/>
      <c r="R185" s="376"/>
      <c r="S185" s="376"/>
      <c r="T185" s="446">
        <f>COUNTIFS(Table4[Status Anterior],'1. Status Resumo FY24'!$P184,Table4[Sub-âmbito],'1. Status Resumo FY24'!$G$156,Table4[Tipo de teste],"2. Campo",'2. Status Detalhe Campos FY24'!$U$7:$U$740,"*Plano anterior*")</f>
        <v>0</v>
      </c>
      <c r="U185" s="446">
        <f>COUNTIFS(Table4[Status Atual],'1. Status Resumo FY24'!$P184,Table4[Sub-âmbito],'1. Status Resumo FY24'!$G$156,Table4[Tipo de teste],"2. Campo",'2. Status Detalhe Campos FY24'!$U$7:$U$740,"*Plano anterior*")</f>
        <v>0</v>
      </c>
      <c r="V185" s="446">
        <f t="shared" si="8"/>
        <v>0</v>
      </c>
      <c r="X185" s="546"/>
      <c r="Y185" s="546"/>
      <c r="Z185" s="546"/>
      <c r="AA185" s="546"/>
      <c r="AB185" s="546"/>
      <c r="AC185" s="546"/>
      <c r="AD185" s="546"/>
      <c r="AE185" s="546"/>
      <c r="AF185" s="546"/>
      <c r="AG185" s="162"/>
      <c r="AH185" s="116"/>
    </row>
    <row r="186" spans="1:34" ht="18.75" customHeight="1">
      <c r="A186" s="116"/>
      <c r="B186" s="121"/>
      <c r="D186" s="427"/>
      <c r="E186" s="427"/>
      <c r="P186" s="375" t="s">
        <v>2361</v>
      </c>
      <c r="Q186" s="376"/>
      <c r="R186" s="376"/>
      <c r="S186" s="376"/>
      <c r="T186" s="446">
        <f>COUNTIFS(Table4[Status Anterior],'1. Status Resumo FY24'!$P184,Table4[Sub-âmbito],'1. Status Resumo FY24'!$G$156,Table4[Tipo de teste],"2. Campo",'2. Status Detalhe Campos FY24'!$U$7:$U$740,"*Novo Plano*",'2. Status Detalhe Campos FY24'!$T$7:$T$740,"*Âmbito ESTR e (ou) LF*")</f>
        <v>0</v>
      </c>
      <c r="U186" s="446">
        <f>COUNTIFS(Table4[Status Atual],'1. Status Resumo FY24'!$P184,Table4[Sub-âmbito],'1. Status Resumo FY24'!$G$156,Table4[Tipo de teste],"2. Campo",'2. Status Detalhe Campos FY24'!$U$7:$U$740,"*Novo Plano*",'2. Status Detalhe Campos FY24'!$U$7:$U$740,"*Novo Plano*",'2. Status Detalhe Campos FY24'!$T$7:$T$740,"*Âmbito ESTR e (ou) LF*")</f>
        <v>0</v>
      </c>
      <c r="V186" s="446">
        <f t="shared" si="8"/>
        <v>0</v>
      </c>
      <c r="X186" s="546"/>
      <c r="Y186" s="546"/>
      <c r="Z186" s="546"/>
      <c r="AA186" s="546"/>
      <c r="AB186" s="546"/>
      <c r="AC186" s="546"/>
      <c r="AD186" s="546"/>
      <c r="AE186" s="546"/>
      <c r="AF186" s="546"/>
      <c r="AG186" s="162"/>
      <c r="AH186" s="116"/>
    </row>
    <row r="187" spans="1:34" ht="17.899999999999999" customHeight="1">
      <c r="A187" s="116"/>
      <c r="B187" s="121"/>
      <c r="D187" s="427"/>
      <c r="E187" s="427"/>
      <c r="P187" s="377" t="s">
        <v>2362</v>
      </c>
      <c r="Q187" s="378"/>
      <c r="R187" s="378"/>
      <c r="S187" s="378"/>
      <c r="T187" s="447">
        <f>COUNTIFS(Table4[Status Anterior],'1. Status Resumo FY24'!$P184,Table4[Sub-âmbito],'1. Status Resumo FY24'!$G$156,Table4[Tipo de teste],"2. Campo",'2. Status Detalhe Campos FY24'!$U$7:$U$740,"*Novo Plano*",'2. Status Detalhe Campos FY24'!$T$7:$T$740,"*Outros*")</f>
        <v>0</v>
      </c>
      <c r="U187" s="447">
        <f>COUNTIFS(Table4[Status Atual],'1. Status Resumo FY24'!$P184,Table4[Sub-âmbito],'1. Status Resumo FY24'!$G$156,Table4[Tipo de teste],"2. Campo",'2. Status Detalhe Campos FY24'!$U$7:$U$740,"*Novo Plano*",'2. Status Detalhe Campos FY24'!$U$7:$U$740,"*Novo Plano*",'2. Status Detalhe Campos FY24'!$T$7:$T$740,"*Outros*")</f>
        <v>0</v>
      </c>
      <c r="V187" s="447">
        <f t="shared" si="8"/>
        <v>0</v>
      </c>
      <c r="X187" s="546"/>
      <c r="Y187" s="546"/>
      <c r="Z187" s="546"/>
      <c r="AA187" s="546"/>
      <c r="AB187" s="546"/>
      <c r="AC187" s="546"/>
      <c r="AD187" s="546"/>
      <c r="AE187" s="546"/>
      <c r="AF187" s="546"/>
      <c r="AG187" s="162"/>
      <c r="AH187" s="116"/>
    </row>
    <row r="188" spans="1:34" ht="17.899999999999999" customHeight="1">
      <c r="A188" s="116"/>
      <c r="B188" s="121"/>
      <c r="D188" s="427"/>
      <c r="E188" s="427"/>
      <c r="P188" s="25" t="s">
        <v>2320</v>
      </c>
      <c r="T188" s="25">
        <f>COUNTIFS(Table4[Status Anterior],'1. Status Resumo FY24'!$P188,Table4[Sub-âmbito],'1. Status Resumo FY24'!$G$156,Table4[Tipo de teste],"2. Campo")</f>
        <v>80</v>
      </c>
      <c r="U188" s="25">
        <f>COUNTIFS(Table4[Status Atual],'1. Status Resumo FY24'!$P188,Table4[Sub-âmbito],'1. Status Resumo FY24'!$G$156,Table4[Tipo de teste],"2. Campo")</f>
        <v>80</v>
      </c>
      <c r="V188" s="25">
        <f t="shared" si="8"/>
        <v>0</v>
      </c>
      <c r="X188" s="546"/>
      <c r="Y188" s="546"/>
      <c r="Z188" s="546"/>
      <c r="AA188" s="546"/>
      <c r="AB188" s="546"/>
      <c r="AC188" s="546"/>
      <c r="AD188" s="546"/>
      <c r="AE188" s="546"/>
      <c r="AF188" s="546"/>
      <c r="AG188" s="162"/>
      <c r="AH188" s="116"/>
    </row>
    <row r="189" spans="1:34" ht="17.899999999999999" customHeight="1">
      <c r="A189" s="116"/>
      <c r="B189" s="121"/>
      <c r="D189" s="371"/>
      <c r="E189" s="533" t="str">
        <f>+"#"&amp;$U$197</f>
        <v>#134</v>
      </c>
      <c r="P189" s="375" t="s">
        <v>2366</v>
      </c>
      <c r="Q189" s="376"/>
      <c r="R189" s="376"/>
      <c r="S189" s="376"/>
      <c r="T189" s="446">
        <f>COUNTIFS(Table4[Status Anterior],'1. Status Resumo FY24'!$P188,Table4[Sub-âmbito],'1. Status Resumo FY24'!$G$156,Table4[Tipo de teste],"2. Campo",'2. Status Detalhe Campos FY24'!$U$7:$U$740,"*Plano anterior*")</f>
        <v>13</v>
      </c>
      <c r="U189" s="446">
        <f>COUNTIFS(Table4[Status Atual],'1. Status Resumo FY24'!$P188,Table4[Sub-âmbito],'1. Status Resumo FY24'!$G$156,Table4[Tipo de teste],"2. Campo",'2. Status Detalhe Campos FY24'!$U$7:$U$740,"*Plano anterior*")</f>
        <v>13</v>
      </c>
      <c r="V189" s="446">
        <f t="shared" si="8"/>
        <v>0</v>
      </c>
      <c r="X189" s="546"/>
      <c r="Y189" s="546"/>
      <c r="Z189" s="546"/>
      <c r="AA189" s="546"/>
      <c r="AB189" s="546"/>
      <c r="AC189" s="546"/>
      <c r="AD189" s="546"/>
      <c r="AE189" s="546"/>
      <c r="AF189" s="546"/>
      <c r="AG189" s="162"/>
      <c r="AH189" s="116"/>
    </row>
    <row r="190" spans="1:34" ht="17.899999999999999" customHeight="1">
      <c r="A190" s="116"/>
      <c r="B190" s="121"/>
      <c r="D190" s="371"/>
      <c r="E190" s="533"/>
      <c r="P190" s="375" t="s">
        <v>2361</v>
      </c>
      <c r="Q190" s="376"/>
      <c r="R190" s="376"/>
      <c r="S190" s="376"/>
      <c r="T190" s="446">
        <f>COUNTIFS(Table4[Status Anterior],'1. Status Resumo FY24'!$P188,Table4[Sub-âmbito],'1. Status Resumo FY24'!$G$156,Table4[Tipo de teste],"2. Campo",'2. Status Detalhe Campos FY24'!$U$7:$U$740,"*Novo Plano*",'2. Status Detalhe Campos FY24'!$T$7:$T$740,"*Âmbito ESTR e (ou) LF*")</f>
        <v>20</v>
      </c>
      <c r="U190" s="446">
        <f>COUNTIFS(Table4[Status Atual],'1. Status Resumo FY24'!$P188,Table4[Sub-âmbito],'1. Status Resumo FY24'!$G$156,Table4[Tipo de teste],"2. Campo",'2. Status Detalhe Campos FY24'!$U$7:$U$740,"*Novo Plano*",'2. Status Detalhe Campos FY24'!$U$7:$U$740,"*Novo Plano*",'2. Status Detalhe Campos FY24'!$T$7:$T$740,"*Âmbito ESTR e (ou) LF*")</f>
        <v>20</v>
      </c>
      <c r="V190" s="446">
        <f t="shared" si="8"/>
        <v>0</v>
      </c>
      <c r="X190" s="546"/>
      <c r="Y190" s="546"/>
      <c r="Z190" s="546"/>
      <c r="AA190" s="546"/>
      <c r="AB190" s="546"/>
      <c r="AC190" s="546"/>
      <c r="AD190" s="546"/>
      <c r="AE190" s="546"/>
      <c r="AF190" s="546"/>
      <c r="AG190" s="162"/>
      <c r="AH190" s="116"/>
    </row>
    <row r="191" spans="1:34" ht="17.899999999999999" customHeight="1">
      <c r="A191" s="116"/>
      <c r="B191" s="121"/>
      <c r="D191" s="371"/>
      <c r="E191" s="533"/>
      <c r="P191" s="377" t="s">
        <v>2362</v>
      </c>
      <c r="Q191" s="378"/>
      <c r="R191" s="378"/>
      <c r="S191" s="378"/>
      <c r="T191" s="447">
        <f>COUNTIFS(Table4[Status Anterior],'1. Status Resumo FY24'!$P188,Table4[Sub-âmbito],'1. Status Resumo FY24'!$G$156,Table4[Tipo de teste],"2. Campo",'2. Status Detalhe Campos FY24'!$U$7:$U$740,"*Novo Plano*",'2. Status Detalhe Campos FY24'!$T$7:$T$740,"*Outros*")</f>
        <v>47</v>
      </c>
      <c r="U191" s="447">
        <f>COUNTIFS(Table4[Status Atual],'1. Status Resumo FY24'!$P188,Table4[Sub-âmbito],'1. Status Resumo FY24'!$G$156,Table4[Tipo de teste],"2. Campo",'2. Status Detalhe Campos FY24'!$U$7:$U$740,"*Novo Plano*",'2. Status Detalhe Campos FY24'!$U$7:$U$740,"*Novo Plano*",'2. Status Detalhe Campos FY24'!$T$7:$T$740,"*Outros*")</f>
        <v>47</v>
      </c>
      <c r="V191" s="447">
        <f t="shared" si="8"/>
        <v>0</v>
      </c>
      <c r="X191" s="546"/>
      <c r="Y191" s="546"/>
      <c r="Z191" s="546"/>
      <c r="AA191" s="546"/>
      <c r="AB191" s="546"/>
      <c r="AC191" s="546"/>
      <c r="AD191" s="546"/>
      <c r="AE191" s="546"/>
      <c r="AF191" s="546"/>
      <c r="AG191" s="162"/>
      <c r="AH191" s="116"/>
    </row>
    <row r="192" spans="1:34" ht="17.899999999999999" customHeight="1">
      <c r="A192" s="116"/>
      <c r="B192" s="121"/>
      <c r="P192" s="25" t="s">
        <v>28</v>
      </c>
      <c r="T192" s="25">
        <f>COUNTIFS(Table4[Status Anterior],'1. Status Resumo FY24'!$P192,Table4[Sub-âmbito],'1. Status Resumo FY24'!$G$156,Table4[Tipo de teste],"2. Campo")</f>
        <v>0</v>
      </c>
      <c r="U192" s="25">
        <f>COUNTIFS(Table4[Status Atual],'1. Status Resumo FY24'!$P192,Table4[Sub-âmbito],'1. Status Resumo FY24'!$G$156,Table4[Tipo de teste],"2. Campo")</f>
        <v>0</v>
      </c>
      <c r="V192" s="25">
        <f t="shared" si="8"/>
        <v>0</v>
      </c>
      <c r="X192" s="546"/>
      <c r="Y192" s="546"/>
      <c r="Z192" s="546"/>
      <c r="AA192" s="546"/>
      <c r="AB192" s="546"/>
      <c r="AC192" s="546"/>
      <c r="AD192" s="546"/>
      <c r="AE192" s="546"/>
      <c r="AF192" s="546"/>
      <c r="AG192" s="162"/>
      <c r="AH192" s="116"/>
    </row>
    <row r="193" spans="1:34" ht="17.899999999999999" customHeight="1">
      <c r="A193" s="116"/>
      <c r="B193" s="121"/>
      <c r="P193" s="375" t="s">
        <v>2366</v>
      </c>
      <c r="Q193" s="376"/>
      <c r="R193" s="376"/>
      <c r="S193" s="376"/>
      <c r="T193" s="446">
        <f>COUNTIFS(Table4[Status Anterior],'1. Status Resumo FY24'!$P192,Table4[Sub-âmbito],'1. Status Resumo FY24'!$G$156,Table4[Tipo de teste],"2. Campo",'2. Status Detalhe Campos FY24'!$U$7:$U$740,"*Plano anterior*")</f>
        <v>0</v>
      </c>
      <c r="U193" s="446">
        <f>COUNTIFS(Table4[Status Atual],'1. Status Resumo FY24'!$P192,Table4[Sub-âmbito],'1. Status Resumo FY24'!$G$156,Table4[Tipo de teste],"2. Campo",'2. Status Detalhe Campos FY24'!$U$7:$U$740,"*Plano anterior*")</f>
        <v>0</v>
      </c>
      <c r="V193" s="446">
        <f t="shared" si="8"/>
        <v>0</v>
      </c>
      <c r="X193" s="546"/>
      <c r="Y193" s="546"/>
      <c r="Z193" s="546"/>
      <c r="AA193" s="546"/>
      <c r="AB193" s="546"/>
      <c r="AC193" s="546"/>
      <c r="AD193" s="546"/>
      <c r="AE193" s="546"/>
      <c r="AF193" s="546"/>
      <c r="AG193" s="162"/>
      <c r="AH193" s="116"/>
    </row>
    <row r="194" spans="1:34" ht="17.899999999999999" customHeight="1">
      <c r="A194" s="116"/>
      <c r="B194" s="121"/>
      <c r="P194" s="375" t="s">
        <v>2361</v>
      </c>
      <c r="Q194" s="376"/>
      <c r="R194" s="376"/>
      <c r="S194" s="376"/>
      <c r="T194" s="446">
        <f>COUNTIFS(Table4[Status Anterior],'1. Status Resumo FY24'!$P192,Table4[Sub-âmbito],'1. Status Resumo FY24'!$G$156,Table4[Tipo de teste],"2. Campo",'2. Status Detalhe Campos FY24'!$U$7:$U$740,"*Novo Plano*",'2. Status Detalhe Campos FY24'!$T$7:$T$740,"*Âmbito ESTR e (ou) LF*")</f>
        <v>0</v>
      </c>
      <c r="U194" s="446">
        <f>COUNTIFS(Table4[Status Atual],'1. Status Resumo FY24'!$P192,Table4[Sub-âmbito],'1. Status Resumo FY24'!$G$156,Table4[Tipo de teste],"2. Campo",'2. Status Detalhe Campos FY24'!$U$7:$U$740,"*Novo Plano*",'2. Status Detalhe Campos FY24'!$U$7:$U$740,"*Novo Plano*",'2. Status Detalhe Campos FY24'!$T$7:$T$740,"*Âmbito ESTR e (ou) LF*")</f>
        <v>0</v>
      </c>
      <c r="V194" s="446">
        <f t="shared" si="8"/>
        <v>0</v>
      </c>
      <c r="X194" s="546"/>
      <c r="Y194" s="546"/>
      <c r="Z194" s="546"/>
      <c r="AA194" s="546"/>
      <c r="AB194" s="546"/>
      <c r="AC194" s="546"/>
      <c r="AD194" s="546"/>
      <c r="AE194" s="546"/>
      <c r="AF194" s="546"/>
      <c r="AG194" s="162"/>
      <c r="AH194" s="116"/>
    </row>
    <row r="195" spans="1:34" ht="17.899999999999999" customHeight="1">
      <c r="A195" s="116"/>
      <c r="B195" s="121"/>
      <c r="P195" s="379" t="s">
        <v>2362</v>
      </c>
      <c r="Q195" s="380"/>
      <c r="R195" s="380"/>
      <c r="S195" s="380"/>
      <c r="T195" s="448">
        <f>COUNTIFS(Table4[Status Anterior],'1. Status Resumo FY24'!$P192,Table4[Sub-âmbito],'1. Status Resumo FY24'!$G$156,Table4[Tipo de teste],"2. Campo",'2. Status Detalhe Campos FY24'!$U$7:$U$740,"*Novo Plano*",'2. Status Detalhe Campos FY24'!$T$7:$T$740,"*Outros*")</f>
        <v>0</v>
      </c>
      <c r="U195" s="448">
        <f>COUNTIFS(Table4[Status Atual],'1. Status Resumo FY24'!$P192,Table4[Sub-âmbito],'1. Status Resumo FY24'!$G$156,Table4[Tipo de teste],"2. Campo",'2. Status Detalhe Campos FY24'!$U$7:$U$740,"*Novo Plano*",'2. Status Detalhe Campos FY24'!$U$7:$U$740,"*Novo Plano*",'2. Status Detalhe Campos FY24'!$T$7:$T$740,"*Outros*")</f>
        <v>0</v>
      </c>
      <c r="V195" s="448">
        <f t="shared" si="8"/>
        <v>0</v>
      </c>
      <c r="X195" s="546"/>
      <c r="Y195" s="546"/>
      <c r="Z195" s="546"/>
      <c r="AA195" s="546"/>
      <c r="AB195" s="546"/>
      <c r="AC195" s="546"/>
      <c r="AD195" s="546"/>
      <c r="AE195" s="546"/>
      <c r="AF195" s="546"/>
      <c r="AG195" s="162"/>
      <c r="AH195" s="116"/>
    </row>
    <row r="196" spans="1:34" ht="17.899999999999999" customHeight="1">
      <c r="A196" s="116"/>
      <c r="B196" s="121"/>
      <c r="P196" s="127" t="s">
        <v>2326</v>
      </c>
      <c r="T196" s="127">
        <f t="shared" ref="T196:U199" si="9">+SUM(T160,T164,T168,T172,T176,T180,T184,T188,T192)</f>
        <v>205</v>
      </c>
      <c r="U196" s="127">
        <f t="shared" si="9"/>
        <v>205</v>
      </c>
      <c r="V196" s="127">
        <f>+U196-T196</f>
        <v>0</v>
      </c>
      <c r="X196" s="546"/>
      <c r="Y196" s="546"/>
      <c r="Z196" s="546"/>
      <c r="AA196" s="546"/>
      <c r="AB196" s="546"/>
      <c r="AC196" s="546"/>
      <c r="AD196" s="546"/>
      <c r="AE196" s="546"/>
      <c r="AF196" s="546"/>
      <c r="AG196" s="162"/>
      <c r="AH196" s="116"/>
    </row>
    <row r="197" spans="1:34" ht="17.899999999999999" customHeight="1">
      <c r="A197" s="116"/>
      <c r="B197" s="121"/>
      <c r="P197" s="381" t="s">
        <v>2366</v>
      </c>
      <c r="T197" s="449">
        <f t="shared" si="9"/>
        <v>134</v>
      </c>
      <c r="U197" s="449">
        <f t="shared" si="9"/>
        <v>134</v>
      </c>
      <c r="V197" s="449">
        <f>+U197-T197</f>
        <v>0</v>
      </c>
      <c r="X197" s="546"/>
      <c r="Y197" s="546"/>
      <c r="Z197" s="546"/>
      <c r="AA197" s="546"/>
      <c r="AB197" s="546"/>
      <c r="AC197" s="546"/>
      <c r="AD197" s="546"/>
      <c r="AE197" s="546"/>
      <c r="AF197" s="546"/>
      <c r="AG197" s="162"/>
      <c r="AH197" s="116"/>
    </row>
    <row r="198" spans="1:34" ht="17.899999999999999" customHeight="1">
      <c r="A198" s="116"/>
      <c r="B198" s="121"/>
      <c r="P198" s="381" t="s">
        <v>2361</v>
      </c>
      <c r="T198" s="449">
        <f t="shared" si="9"/>
        <v>20</v>
      </c>
      <c r="U198" s="449">
        <f t="shared" si="9"/>
        <v>20</v>
      </c>
      <c r="V198" s="449">
        <f>+U198-T198</f>
        <v>0</v>
      </c>
      <c r="X198" s="546"/>
      <c r="Y198" s="546"/>
      <c r="Z198" s="546"/>
      <c r="AA198" s="546"/>
      <c r="AB198" s="546"/>
      <c r="AC198" s="546"/>
      <c r="AD198" s="546"/>
      <c r="AE198" s="546"/>
      <c r="AF198" s="546"/>
      <c r="AG198" s="162"/>
      <c r="AH198" s="116"/>
    </row>
    <row r="199" spans="1:34" ht="17.899999999999999" customHeight="1">
      <c r="A199" s="116"/>
      <c r="B199" s="121"/>
      <c r="P199" s="382" t="s">
        <v>2362</v>
      </c>
      <c r="Q199" s="130"/>
      <c r="R199" s="130"/>
      <c r="S199" s="130"/>
      <c r="T199" s="450">
        <f t="shared" si="9"/>
        <v>51</v>
      </c>
      <c r="U199" s="450">
        <f t="shared" si="9"/>
        <v>51</v>
      </c>
      <c r="V199" s="450">
        <f>+U199-T199</f>
        <v>0</v>
      </c>
      <c r="X199" s="546"/>
      <c r="Y199" s="546"/>
      <c r="Z199" s="546"/>
      <c r="AA199" s="546"/>
      <c r="AB199" s="546"/>
      <c r="AC199" s="546"/>
      <c r="AD199" s="546"/>
      <c r="AE199" s="546"/>
      <c r="AF199" s="546"/>
      <c r="AG199" s="162"/>
      <c r="AH199" s="116"/>
    </row>
    <row r="200" spans="1:34">
      <c r="A200" s="116"/>
      <c r="B200" s="121"/>
      <c r="T200" s="127"/>
      <c r="U200" s="127"/>
      <c r="X200" s="546"/>
      <c r="Y200" s="546"/>
      <c r="Z200" s="546"/>
      <c r="AA200" s="546"/>
      <c r="AB200" s="546"/>
      <c r="AC200" s="546"/>
      <c r="AD200" s="546"/>
      <c r="AE200" s="546"/>
      <c r="AF200" s="546"/>
      <c r="AG200" s="162"/>
      <c r="AH200" s="116"/>
    </row>
    <row r="201" spans="1:34">
      <c r="A201" s="116"/>
      <c r="B201" s="121"/>
      <c r="P201" s="129" t="s">
        <v>617</v>
      </c>
      <c r="Q201" s="130"/>
      <c r="R201" s="130"/>
      <c r="S201" s="130"/>
      <c r="T201" s="130"/>
      <c r="U201" s="130"/>
      <c r="V201" s="130"/>
      <c r="X201" s="546"/>
      <c r="Y201" s="546"/>
      <c r="Z201" s="546"/>
      <c r="AA201" s="546"/>
      <c r="AB201" s="546"/>
      <c r="AC201" s="546"/>
      <c r="AD201" s="546"/>
      <c r="AE201" s="546"/>
      <c r="AF201" s="546"/>
      <c r="AG201" s="162"/>
      <c r="AH201" s="116"/>
    </row>
    <row r="202" spans="1:34">
      <c r="A202" s="116"/>
      <c r="B202" s="121"/>
      <c r="O202" s="159" t="s">
        <v>619</v>
      </c>
      <c r="P202" s="25" t="s">
        <v>379</v>
      </c>
      <c r="T202" s="200" t="s">
        <v>1841</v>
      </c>
      <c r="X202" s="546"/>
      <c r="Y202" s="546"/>
      <c r="Z202" s="546"/>
      <c r="AA202" s="546"/>
      <c r="AB202" s="546"/>
      <c r="AC202" s="546"/>
      <c r="AD202" s="546"/>
      <c r="AE202" s="546"/>
      <c r="AF202" s="546"/>
      <c r="AG202" s="162"/>
      <c r="AH202" s="116"/>
    </row>
    <row r="203" spans="1:34">
      <c r="A203" s="116"/>
      <c r="B203" s="121"/>
      <c r="O203" s="159" t="s">
        <v>619</v>
      </c>
      <c r="P203" s="25" t="s">
        <v>335</v>
      </c>
      <c r="T203" s="200" t="s">
        <v>1841</v>
      </c>
      <c r="X203" s="546"/>
      <c r="Y203" s="546"/>
      <c r="Z203" s="546"/>
      <c r="AA203" s="546"/>
      <c r="AB203" s="546"/>
      <c r="AC203" s="546"/>
      <c r="AD203" s="546"/>
      <c r="AE203" s="546"/>
      <c r="AF203" s="546"/>
      <c r="AG203" s="162"/>
      <c r="AH203" s="116"/>
    </row>
    <row r="204" spans="1:34">
      <c r="A204" s="116"/>
      <c r="B204" s="121"/>
      <c r="O204" s="159" t="s">
        <v>619</v>
      </c>
      <c r="P204" s="25" t="s">
        <v>368</v>
      </c>
      <c r="T204" s="200" t="s">
        <v>1841</v>
      </c>
      <c r="X204" s="546"/>
      <c r="Y204" s="546"/>
      <c r="Z204" s="546"/>
      <c r="AA204" s="546"/>
      <c r="AB204" s="546"/>
      <c r="AC204" s="546"/>
      <c r="AD204" s="546"/>
      <c r="AE204" s="546"/>
      <c r="AF204" s="546"/>
      <c r="AG204" s="162"/>
      <c r="AH204" s="116"/>
    </row>
    <row r="205" spans="1:34">
      <c r="A205" s="116"/>
      <c r="B205" s="121"/>
      <c r="O205" s="159" t="s">
        <v>619</v>
      </c>
      <c r="P205" s="25" t="s">
        <v>439</v>
      </c>
      <c r="T205" s="161" t="s">
        <v>621</v>
      </c>
      <c r="X205" s="546"/>
      <c r="Y205" s="546"/>
      <c r="Z205" s="546"/>
      <c r="AA205" s="546"/>
      <c r="AB205" s="546"/>
      <c r="AC205" s="546"/>
      <c r="AD205" s="546"/>
      <c r="AE205" s="546"/>
      <c r="AF205" s="546"/>
      <c r="AG205" s="162"/>
      <c r="AH205" s="116"/>
    </row>
    <row r="206" spans="1:34">
      <c r="A206" s="116"/>
      <c r="B206" s="121"/>
      <c r="O206" s="159" t="s">
        <v>619</v>
      </c>
      <c r="P206" s="25" t="s">
        <v>441</v>
      </c>
      <c r="T206" s="488" t="s">
        <v>2429</v>
      </c>
      <c r="X206" s="546"/>
      <c r="Y206" s="546"/>
      <c r="Z206" s="546"/>
      <c r="AA206" s="546"/>
      <c r="AB206" s="546"/>
      <c r="AC206" s="546"/>
      <c r="AD206" s="546"/>
      <c r="AE206" s="546"/>
      <c r="AF206" s="546"/>
      <c r="AG206" s="162"/>
      <c r="AH206" s="116"/>
    </row>
    <row r="207" spans="1:34">
      <c r="A207" s="116"/>
      <c r="B207" s="121"/>
      <c r="O207" s="159" t="s">
        <v>619</v>
      </c>
      <c r="P207" s="25" t="s">
        <v>1860</v>
      </c>
      <c r="T207" s="200" t="s">
        <v>1841</v>
      </c>
      <c r="X207" s="546"/>
      <c r="Y207" s="546"/>
      <c r="Z207" s="546"/>
      <c r="AA207" s="546"/>
      <c r="AB207" s="546"/>
      <c r="AC207" s="546"/>
      <c r="AD207" s="546"/>
      <c r="AE207" s="546"/>
      <c r="AF207" s="546"/>
      <c r="AG207" s="162"/>
      <c r="AH207" s="116"/>
    </row>
    <row r="208" spans="1:34">
      <c r="A208" s="116"/>
      <c r="B208" s="121"/>
      <c r="O208" s="159" t="s">
        <v>619</v>
      </c>
      <c r="P208" s="25" t="s">
        <v>1861</v>
      </c>
      <c r="T208" s="161" t="s">
        <v>621</v>
      </c>
      <c r="X208" s="546"/>
      <c r="Y208" s="546"/>
      <c r="Z208" s="546"/>
      <c r="AA208" s="546"/>
      <c r="AB208" s="546"/>
      <c r="AC208" s="546"/>
      <c r="AD208" s="546"/>
      <c r="AE208" s="546"/>
      <c r="AF208" s="546"/>
      <c r="AG208" s="162"/>
      <c r="AH208" s="116"/>
    </row>
    <row r="209" spans="1:34">
      <c r="A209" s="116"/>
      <c r="B209" s="121"/>
      <c r="O209" s="159" t="s">
        <v>619</v>
      </c>
      <c r="P209" s="25" t="s">
        <v>392</v>
      </c>
      <c r="T209" s="161" t="s">
        <v>621</v>
      </c>
      <c r="X209" s="546"/>
      <c r="Y209" s="546"/>
      <c r="Z209" s="546"/>
      <c r="AA209" s="546"/>
      <c r="AB209" s="546"/>
      <c r="AC209" s="546"/>
      <c r="AD209" s="546"/>
      <c r="AE209" s="546"/>
      <c r="AF209" s="546"/>
      <c r="AG209" s="162"/>
      <c r="AH209" s="116"/>
    </row>
    <row r="210" spans="1:34">
      <c r="A210" s="116"/>
      <c r="B210" s="121"/>
      <c r="O210" s="159"/>
      <c r="T210" s="161"/>
      <c r="X210" s="546"/>
      <c r="Y210" s="546"/>
      <c r="Z210" s="546"/>
      <c r="AA210" s="546"/>
      <c r="AB210" s="546"/>
      <c r="AC210" s="546"/>
      <c r="AD210" s="546"/>
      <c r="AE210" s="546"/>
      <c r="AF210" s="546"/>
      <c r="AG210" s="162"/>
      <c r="AH210" s="116"/>
    </row>
    <row r="211" spans="1:34">
      <c r="A211" s="116"/>
      <c r="B211" s="121"/>
      <c r="O211" s="159"/>
      <c r="T211" s="161"/>
      <c r="X211" s="546"/>
      <c r="Y211" s="546"/>
      <c r="Z211" s="546"/>
      <c r="AA211" s="546"/>
      <c r="AB211" s="546"/>
      <c r="AC211" s="546"/>
      <c r="AD211" s="546"/>
      <c r="AE211" s="546"/>
      <c r="AF211" s="546"/>
      <c r="AG211" s="162"/>
      <c r="AH211" s="116"/>
    </row>
    <row r="212" spans="1:34">
      <c r="A212" s="116"/>
      <c r="B212" s="121"/>
      <c r="O212" s="159"/>
      <c r="T212" s="161"/>
      <c r="X212" s="546"/>
      <c r="Y212" s="546"/>
      <c r="Z212" s="546"/>
      <c r="AA212" s="546"/>
      <c r="AB212" s="546"/>
      <c r="AC212" s="546"/>
      <c r="AD212" s="546"/>
      <c r="AE212" s="546"/>
      <c r="AF212" s="546"/>
      <c r="AG212" s="162"/>
      <c r="AH212" s="116"/>
    </row>
    <row r="213" spans="1:34">
      <c r="A213" s="116"/>
      <c r="B213" s="121"/>
      <c r="X213" s="546"/>
      <c r="Y213" s="546"/>
      <c r="Z213" s="546"/>
      <c r="AA213" s="546"/>
      <c r="AB213" s="546"/>
      <c r="AC213" s="546"/>
      <c r="AD213" s="546"/>
      <c r="AE213" s="546"/>
      <c r="AF213" s="546"/>
      <c r="AG213" s="162"/>
      <c r="AH213" s="116"/>
    </row>
    <row r="214" spans="1:34">
      <c r="A214" s="116"/>
      <c r="B214" s="123"/>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5"/>
      <c r="AH214" s="116"/>
    </row>
    <row r="215" spans="1:34" ht="22.4"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5.15"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99999999999999"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99999999999999"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99999999999999"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7.899999999999999" hidden="1"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7.899999999999999" hidden="1"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7.899999999999999" hidden="1"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7.899999999999999" hidden="1"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7.899999999999999" hidden="1"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7.899999999999999" hidden="1"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7.899999999999999" hidden="1"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s="198" customForma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s="198" customFormat="1" hidden="1">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row>
    <row r="245" spans="1:34" s="198" customFormat="1" hidden="1"/>
    <row r="246" spans="1:34" s="198" customFormat="1" hidden="1"/>
    <row r="247" spans="1:34" s="198" customFormat="1" hidden="1"/>
    <row r="248" spans="1:34" hidden="1">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c r="AA248" s="198"/>
      <c r="AB248" s="198"/>
      <c r="AC248" s="198"/>
      <c r="AD248" s="198"/>
      <c r="AE248" s="198"/>
      <c r="AF248" s="198"/>
      <c r="AG248" s="198"/>
    </row>
    <row r="249" spans="1:34"/>
    <row r="250" spans="1:34"/>
    <row r="251" spans="1:34"/>
    <row r="252" spans="1:34"/>
  </sheetData>
  <sortState ref="O13:O20">
    <sortCondition ref="O13:O20"/>
  </sortState>
  <mergeCells count="38">
    <mergeCell ref="X10:AF52"/>
    <mergeCell ref="E169:E171"/>
    <mergeCell ref="E189:E191"/>
    <mergeCell ref="D116:D118"/>
    <mergeCell ref="J26:O26"/>
    <mergeCell ref="E26:I26"/>
    <mergeCell ref="P26:R26"/>
    <mergeCell ref="X59:AF97"/>
    <mergeCell ref="D68:E74"/>
    <mergeCell ref="X160:AF213"/>
    <mergeCell ref="X104:AF153"/>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09"/>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9.58203125" customWidth="1"/>
    <col min="8"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8" ht="23">
      <c r="B2" s="126" t="s">
        <v>1931</v>
      </c>
    </row>
    <row r="3" spans="2:8" ht="17.5"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614</v>
      </c>
      <c r="G10" t="s">
        <v>2320</v>
      </c>
      <c r="H10" t="s">
        <v>1144</v>
      </c>
    </row>
    <row r="11" spans="2:8">
      <c r="B11" t="s">
        <v>1146</v>
      </c>
      <c r="C11" s="482">
        <v>32</v>
      </c>
      <c r="D11" s="482">
        <v>530</v>
      </c>
      <c r="E11" s="482">
        <v>7</v>
      </c>
      <c r="F11" s="482">
        <v>7</v>
      </c>
      <c r="G11" s="482">
        <v>139</v>
      </c>
      <c r="H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530</v>
      </c>
    </row>
    <row r="26" spans="2:3">
      <c r="B26" s="50" t="s">
        <v>1840</v>
      </c>
      <c r="C26" s="482">
        <v>7</v>
      </c>
    </row>
    <row r="27" spans="2:3">
      <c r="B27" s="50" t="s">
        <v>614</v>
      </c>
      <c r="C27" s="482">
        <v>7</v>
      </c>
    </row>
    <row r="28" spans="2:3">
      <c r="B28" s="50" t="s">
        <v>2320</v>
      </c>
      <c r="C28" s="482">
        <v>139</v>
      </c>
    </row>
    <row r="29" spans="2:3">
      <c r="B29" s="50" t="s">
        <v>1144</v>
      </c>
      <c r="C29"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1840</v>
      </c>
      <c r="F50" t="s">
        <v>614</v>
      </c>
      <c r="G50" t="s">
        <v>1144</v>
      </c>
    </row>
    <row r="51" spans="2:7">
      <c r="B51" s="50" t="s">
        <v>74</v>
      </c>
      <c r="C51" s="482">
        <v>3</v>
      </c>
      <c r="D51" s="482">
        <v>17</v>
      </c>
      <c r="E51" s="482"/>
      <c r="F51" s="482"/>
      <c r="G51" s="482">
        <v>20</v>
      </c>
    </row>
    <row r="52" spans="2:7">
      <c r="B52" s="50" t="s">
        <v>123</v>
      </c>
      <c r="C52" s="482"/>
      <c r="D52" s="482">
        <v>72</v>
      </c>
      <c r="E52" s="482">
        <v>2</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2</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1840</v>
      </c>
      <c r="C69" s="482">
        <v>2</v>
      </c>
    </row>
    <row r="70" spans="2:3">
      <c r="B70" s="50" t="s">
        <v>614</v>
      </c>
      <c r="C70" s="482">
        <v>2</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v>1</v>
      </c>
      <c r="E90" s="482"/>
      <c r="F90" s="482">
        <v>14</v>
      </c>
      <c r="G90" s="482">
        <v>17</v>
      </c>
    </row>
    <row r="91" spans="2:16">
      <c r="B91" s="50" t="s">
        <v>331</v>
      </c>
      <c r="C91" s="482"/>
      <c r="D91" s="482">
        <v>15</v>
      </c>
      <c r="E91" s="482"/>
      <c r="F91" s="482"/>
      <c r="G91" s="482">
        <v>15</v>
      </c>
    </row>
    <row r="92" spans="2:16">
      <c r="B92" s="50" t="s">
        <v>325</v>
      </c>
      <c r="C92" s="482"/>
      <c r="D92" s="482">
        <v>49</v>
      </c>
      <c r="E92" s="482">
        <v>5</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222</v>
      </c>
      <c r="E104" s="482">
        <v>5</v>
      </c>
      <c r="F104" s="482">
        <v>59</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222</v>
      </c>
    </row>
    <row r="114" spans="2:16">
      <c r="B114" s="50" t="s">
        <v>1840</v>
      </c>
      <c r="C114" s="482">
        <v>5</v>
      </c>
    </row>
    <row r="115" spans="2:16">
      <c r="B115" s="50" t="s">
        <v>2324</v>
      </c>
      <c r="C115" s="482">
        <v>59</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7">
      <c r="B129" s="49" t="s">
        <v>8</v>
      </c>
      <c r="C129" t="s" vm="1">
        <v>26</v>
      </c>
    </row>
    <row r="130" spans="2:7">
      <c r="B130" s="49" t="s">
        <v>9</v>
      </c>
      <c r="C130" t="s" vm="5">
        <v>26</v>
      </c>
    </row>
    <row r="131" spans="2:7">
      <c r="B131" s="49" t="s">
        <v>10</v>
      </c>
      <c r="C131" t="s" vm="3">
        <v>40</v>
      </c>
    </row>
    <row r="133" spans="2:7">
      <c r="B133" s="49" t="s">
        <v>1146</v>
      </c>
      <c r="C133" s="49" t="s">
        <v>1147</v>
      </c>
    </row>
    <row r="134" spans="2:7">
      <c r="B134" s="49" t="s">
        <v>1148</v>
      </c>
      <c r="C134" t="s">
        <v>611</v>
      </c>
      <c r="D134" t="s">
        <v>612</v>
      </c>
      <c r="E134" t="s">
        <v>614</v>
      </c>
      <c r="F134" t="s">
        <v>2324</v>
      </c>
      <c r="G134" t="s">
        <v>1144</v>
      </c>
    </row>
    <row r="135" spans="2:7">
      <c r="B135" s="50" t="s">
        <v>379</v>
      </c>
      <c r="C135" s="482"/>
      <c r="D135" s="482">
        <v>22</v>
      </c>
      <c r="E135" s="482">
        <v>1</v>
      </c>
      <c r="F135" s="482">
        <v>22</v>
      </c>
      <c r="G135" s="482">
        <v>45</v>
      </c>
    </row>
    <row r="136" spans="2:7">
      <c r="B136" s="50" t="s">
        <v>335</v>
      </c>
      <c r="C136" s="482"/>
      <c r="D136" s="482">
        <v>39</v>
      </c>
      <c r="E136" s="482"/>
      <c r="F136" s="482">
        <v>28</v>
      </c>
      <c r="G136" s="482">
        <v>67</v>
      </c>
    </row>
    <row r="137" spans="2:7">
      <c r="B137" s="50" t="s">
        <v>368</v>
      </c>
      <c r="C137" s="482">
        <v>4</v>
      </c>
      <c r="D137" s="482">
        <v>19</v>
      </c>
      <c r="E137" s="482">
        <v>4</v>
      </c>
      <c r="F137" s="482">
        <v>20</v>
      </c>
      <c r="G137" s="482">
        <v>47</v>
      </c>
    </row>
    <row r="138" spans="2:7">
      <c r="B138" s="50" t="s">
        <v>439</v>
      </c>
      <c r="C138" s="482"/>
      <c r="D138" s="482">
        <v>5</v>
      </c>
      <c r="E138" s="482"/>
      <c r="F138" s="482"/>
      <c r="G138" s="482">
        <v>5</v>
      </c>
    </row>
    <row r="139" spans="2:7">
      <c r="B139" s="50" t="s">
        <v>441</v>
      </c>
      <c r="C139" s="482"/>
      <c r="D139" s="482">
        <v>4</v>
      </c>
      <c r="E139" s="482"/>
      <c r="F139" s="482">
        <v>2</v>
      </c>
      <c r="G139" s="482">
        <v>6</v>
      </c>
    </row>
    <row r="140" spans="2:7">
      <c r="B140" s="50" t="s">
        <v>1860</v>
      </c>
      <c r="C140" s="482"/>
      <c r="D140" s="482">
        <v>3</v>
      </c>
      <c r="E140" s="482"/>
      <c r="F140" s="482">
        <v>8</v>
      </c>
      <c r="G140" s="482">
        <v>11</v>
      </c>
    </row>
    <row r="141" spans="2:7">
      <c r="B141" s="50" t="s">
        <v>392</v>
      </c>
      <c r="C141" s="482"/>
      <c r="D141" s="482">
        <v>9</v>
      </c>
      <c r="E141" s="482"/>
      <c r="F141" s="482"/>
      <c r="G141" s="482">
        <v>9</v>
      </c>
    </row>
    <row r="142" spans="2:7">
      <c r="B142" s="50" t="s">
        <v>1861</v>
      </c>
      <c r="C142" s="482"/>
      <c r="D142" s="482">
        <v>15</v>
      </c>
      <c r="E142" s="482"/>
      <c r="F142" s="482"/>
      <c r="G142" s="482">
        <v>15</v>
      </c>
    </row>
    <row r="143" spans="2:7">
      <c r="B143" s="50" t="s">
        <v>1144</v>
      </c>
      <c r="C143" s="482">
        <v>4</v>
      </c>
      <c r="D143" s="482">
        <v>116</v>
      </c>
      <c r="E143" s="482">
        <v>5</v>
      </c>
      <c r="F143" s="482">
        <v>80</v>
      </c>
      <c r="G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116</v>
      </c>
    </row>
    <row r="156" spans="2:3">
      <c r="B156" s="50" t="s">
        <v>611</v>
      </c>
      <c r="C156" s="482">
        <v>4</v>
      </c>
    </row>
    <row r="157" spans="2:3">
      <c r="B157" s="50" t="s">
        <v>614</v>
      </c>
      <c r="C157" s="482">
        <v>5</v>
      </c>
    </row>
    <row r="158" spans="2:3">
      <c r="B158" s="50" t="s">
        <v>2324</v>
      </c>
      <c r="C158" s="482">
        <v>80</v>
      </c>
    </row>
    <row r="159" spans="2:3">
      <c r="B159" s="50" t="s">
        <v>1144</v>
      </c>
      <c r="C159" s="482">
        <v>205</v>
      </c>
    </row>
    <row r="169" spans="2:3">
      <c r="B169" s="49" t="s">
        <v>9</v>
      </c>
      <c r="C169" t="s">
        <v>26</v>
      </c>
    </row>
    <row r="170" spans="2:3">
      <c r="B170" s="49" t="s">
        <v>1935</v>
      </c>
      <c r="C170" t="s">
        <v>2322</v>
      </c>
    </row>
    <row r="172" spans="2:3">
      <c r="B172" s="49" t="s">
        <v>1148</v>
      </c>
      <c r="C172" t="s">
        <v>2372</v>
      </c>
    </row>
    <row r="173" spans="2:3">
      <c r="B173" s="50" t="s">
        <v>612</v>
      </c>
      <c r="C173" s="482">
        <v>1</v>
      </c>
    </row>
    <row r="174" spans="2:3">
      <c r="B174" s="50" t="s">
        <v>614</v>
      </c>
      <c r="C174" s="482">
        <v>3</v>
      </c>
    </row>
    <row r="175" spans="2:3">
      <c r="B175" s="50" t="s">
        <v>2320</v>
      </c>
      <c r="C175" s="482">
        <v>67</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115</v>
      </c>
    </row>
    <row r="207" spans="2:3">
      <c r="B207" s="50" t="s">
        <v>614</v>
      </c>
      <c r="C207" s="482">
        <v>2</v>
      </c>
    </row>
    <row r="208" spans="2:3">
      <c r="B208" s="50" t="s">
        <v>2320</v>
      </c>
      <c r="C208" s="482">
        <v>13</v>
      </c>
    </row>
    <row r="209" spans="2:3">
      <c r="B209" s="50" t="s">
        <v>1144</v>
      </c>
      <c r="C209" s="482">
        <v>134</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H7" sqref="H7:H740"/>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customHeight="1">
      <c r="A7" s="29" t="str">
        <f>E7&amp;F7</f>
        <v>PROPERTY_ENERGY_CERTIFICATECURRENT_ENERGY_RATING_PERCENTAGE</v>
      </c>
      <c r="B7" s="141" t="s">
        <v>26</v>
      </c>
      <c r="C7" s="137" t="s">
        <v>54</v>
      </c>
      <c r="D7" s="133" t="s">
        <v>40</v>
      </c>
      <c r="E7" s="134" t="s">
        <v>123</v>
      </c>
      <c r="F7" s="476" t="s">
        <v>1958</v>
      </c>
      <c r="G7" s="135" t="str">
        <f>VLOOKUP(A7,Plano_V3!$A$26:$G$768,7,0)</f>
        <v>1. Concluído</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customHeight="1">
      <c r="A43" s="29" t="str">
        <f t="shared" si="0"/>
        <v>lt004_protectionEPC_EMSSNS_LBL</v>
      </c>
      <c r="B43" s="141" t="s">
        <v>26</v>
      </c>
      <c r="C43" s="137" t="s">
        <v>26</v>
      </c>
      <c r="D43" s="133" t="s">
        <v>40</v>
      </c>
      <c r="E43" s="136" t="s">
        <v>368</v>
      </c>
      <c r="F43" s="480" t="s">
        <v>2248</v>
      </c>
      <c r="G43" s="135" t="str">
        <f>VLOOKUP(A43,Plano_V3!$A$26:$G$768,7,0)</f>
        <v>1. Concluído</v>
      </c>
      <c r="H43" s="135" t="s">
        <v>612</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customHeight="1">
      <c r="A44" s="29" t="str">
        <f t="shared" si="0"/>
        <v>lt004_protectionTYP_EMSSNS_SCR</v>
      </c>
      <c r="B44" s="141" t="s">
        <v>26</v>
      </c>
      <c r="C44" s="137" t="s">
        <v>26</v>
      </c>
      <c r="D44" s="133" t="s">
        <v>40</v>
      </c>
      <c r="E44" s="136" t="s">
        <v>368</v>
      </c>
      <c r="F44" s="480" t="s">
        <v>2250</v>
      </c>
      <c r="G44" s="135" t="str">
        <f>VLOOKUP(A44,Plano_V3!$A$26:$G$768,7,0)</f>
        <v>4. Validação EF</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customHeight="1">
      <c r="A45" s="29" t="str">
        <f t="shared" si="0"/>
        <v>lt004_protectionEPC_EMSSNS_SCR</v>
      </c>
      <c r="B45" s="141" t="s">
        <v>26</v>
      </c>
      <c r="C45" s="137" t="s">
        <v>26</v>
      </c>
      <c r="D45" s="133" t="s">
        <v>40</v>
      </c>
      <c r="E45" s="136" t="s">
        <v>368</v>
      </c>
      <c r="F45" s="480" t="s">
        <v>2251</v>
      </c>
      <c r="G45" s="135" t="str">
        <f>VLOOKUP(A45,Plano_V3!$A$26:$G$768,7,0)</f>
        <v>4. Validação EF</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customHeight="1">
      <c r="A94" s="29" t="str">
        <f t="shared" si="2"/>
        <v>PROPERTY_ENERGY_CERTIFICATEEPC</v>
      </c>
      <c r="B94" s="141" t="s">
        <v>26</v>
      </c>
      <c r="C94" s="137" t="s">
        <v>54</v>
      </c>
      <c r="D94" s="133" t="s">
        <v>40</v>
      </c>
      <c r="E94" s="134" t="s">
        <v>123</v>
      </c>
      <c r="F94" s="476" t="s">
        <v>47</v>
      </c>
      <c r="G94" s="135" t="str">
        <f>VLOOKUP(A94,Plano_V3!$A$26:$G$768,7,0)</f>
        <v>2.1 Em Teste</v>
      </c>
      <c r="H94" s="135" t="s">
        <v>1840</v>
      </c>
      <c r="I94" s="473"/>
      <c r="J94" s="359" t="s">
        <v>2243</v>
      </c>
      <c r="K94" s="359" t="s">
        <v>2240</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customHeight="1">
      <c r="A96" s="29" t="str">
        <f t="shared" si="2"/>
        <v>PROPERTY_ENERGY_CERTIFICATECARBON_EMISSION_VALUE_YEAR</v>
      </c>
      <c r="B96" s="141" t="s">
        <v>26</v>
      </c>
      <c r="C96" s="137" t="s">
        <v>54</v>
      </c>
      <c r="D96" s="133" t="s">
        <v>40</v>
      </c>
      <c r="E96" s="134" t="s">
        <v>123</v>
      </c>
      <c r="F96" s="476" t="s">
        <v>52</v>
      </c>
      <c r="G96" s="135" t="str">
        <f>VLOOKUP(A96,Plano_V3!$A$26:$G$768,7,0)</f>
        <v>2.1 Em Teste</v>
      </c>
      <c r="H96" s="135" t="s">
        <v>1840</v>
      </c>
      <c r="I96" s="473"/>
      <c r="J96" s="359" t="s">
        <v>2243</v>
      </c>
      <c r="K96" s="359" t="s">
        <v>2240</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customHeight="1">
      <c r="A114" s="29" t="str">
        <f t="shared" si="2"/>
        <v>lt004_protectionflg_act_physcl_rsk</v>
      </c>
      <c r="B114" s="141" t="s">
        <v>26</v>
      </c>
      <c r="C114" s="137" t="s">
        <v>26</v>
      </c>
      <c r="D114" s="133" t="s">
        <v>40</v>
      </c>
      <c r="E114" s="136" t="s">
        <v>368</v>
      </c>
      <c r="F114" s="480" t="s">
        <v>357</v>
      </c>
      <c r="G114" s="489"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customHeight="1">
      <c r="A115" s="29" t="str">
        <f t="shared" si="2"/>
        <v>lt004_protectionflg_chrnc_physcl_rsk</v>
      </c>
      <c r="B115" s="141" t="s">
        <v>26</v>
      </c>
      <c r="C115" s="137" t="s">
        <v>26</v>
      </c>
      <c r="D115" s="133" t="s">
        <v>40</v>
      </c>
      <c r="E115" s="136" t="s">
        <v>368</v>
      </c>
      <c r="F115" s="480" t="s">
        <v>358</v>
      </c>
      <c r="G115" s="489"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customHeight="1">
      <c r="A117" s="29" t="str">
        <f t="shared" si="2"/>
        <v>modesg_out_empr_info_nfinflg_rsc_fsc_agd</v>
      </c>
      <c r="B117" s="141" t="s">
        <v>26</v>
      </c>
      <c r="C117" s="137" t="s">
        <v>310</v>
      </c>
      <c r="D117" s="133" t="s">
        <v>40</v>
      </c>
      <c r="E117" s="134" t="s">
        <v>325</v>
      </c>
      <c r="F117" s="476" t="s">
        <v>282</v>
      </c>
      <c r="G117" s="135" t="str">
        <f>VLOOKUP(A117,Plano_V3!$A$26:$G$768,7,0)</f>
        <v>2.1 Em Teste</v>
      </c>
      <c r="H117" s="135" t="s">
        <v>1840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customHeight="1">
      <c r="A118" s="29" t="str">
        <f t="shared" si="2"/>
        <v>modesg_out_empr_info_nfinflg_rsc_fsc_crnc</v>
      </c>
      <c r="B118" s="141" t="s">
        <v>26</v>
      </c>
      <c r="C118" s="137" t="s">
        <v>310</v>
      </c>
      <c r="D118" s="133" t="s">
        <v>40</v>
      </c>
      <c r="E118" s="134" t="s">
        <v>325</v>
      </c>
      <c r="F118" s="476" t="s">
        <v>283</v>
      </c>
      <c r="G118" s="135" t="str">
        <f>VLOOKUP(A118,Plano_V3!$A$26:$G$768,7,0)</f>
        <v>2.1 Em Teste</v>
      </c>
      <c r="H118" s="135" t="s">
        <v>1840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customHeight="1">
      <c r="A119" s="29" t="str">
        <f t="shared" si="2"/>
        <v>modesg_out_empr_info_nfinorigem_flg_rsc_fsc_agd</v>
      </c>
      <c r="B119" s="141" t="s">
        <v>26</v>
      </c>
      <c r="C119" s="137" t="s">
        <v>310</v>
      </c>
      <c r="D119" s="133" t="s">
        <v>40</v>
      </c>
      <c r="E119" s="134" t="s">
        <v>325</v>
      </c>
      <c r="F119" s="476" t="s">
        <v>317</v>
      </c>
      <c r="G119" s="135" t="str">
        <f>VLOOKUP(A119,Plano_V3!$A$26:$G$768,7,0)</f>
        <v>2.1 Em Teste</v>
      </c>
      <c r="H119" s="135" t="s">
        <v>1840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customHeight="1">
      <c r="A120" s="29" t="str">
        <f t="shared" si="2"/>
        <v>modesg_out_empr_info_nfinorigem_flg_rsc_fsc_crnc</v>
      </c>
      <c r="B120" s="141" t="s">
        <v>26</v>
      </c>
      <c r="C120" s="137" t="s">
        <v>310</v>
      </c>
      <c r="D120" s="133" t="s">
        <v>40</v>
      </c>
      <c r="E120" s="134" t="s">
        <v>325</v>
      </c>
      <c r="F120" s="476" t="s">
        <v>318</v>
      </c>
      <c r="G120" s="135" t="str">
        <f>VLOOKUP(A120,Plano_V3!$A$26:$G$768,7,0)</f>
        <v>2.1 Em Teste</v>
      </c>
      <c r="H120" s="135" t="s">
        <v>1840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customHeight="1">
      <c r="A121" s="29" t="str">
        <f t="shared" si="2"/>
        <v>PROPERTY_ENERGY_CERTIFICATEEP_SCORE</v>
      </c>
      <c r="B121" s="141" t="s">
        <v>26</v>
      </c>
      <c r="C121" s="137" t="s">
        <v>54</v>
      </c>
      <c r="D121" s="133" t="s">
        <v>40</v>
      </c>
      <c r="E121" s="134" t="s">
        <v>123</v>
      </c>
      <c r="F121" s="476" t="s">
        <v>135</v>
      </c>
      <c r="G121" s="135" t="str">
        <f>VLOOKUP(A121,Plano_V3!$A$26:$G$768,7,0)</f>
        <v>4. Validação EF</v>
      </c>
      <c r="H121" s="135" t="s">
        <v>614</v>
      </c>
      <c r="I121" s="473"/>
      <c r="J121" s="359" t="s">
        <v>2425</v>
      </c>
      <c r="K121" s="359" t="s">
        <v>2242</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customHeight="1">
      <c r="A122" s="29" t="str">
        <f t="shared" si="2"/>
        <v>PROPERTY_ENERGY_CERTIFICATEENERGY_CONSUMPTION_VALUE_YEAR</v>
      </c>
      <c r="B122" s="141" t="s">
        <v>26</v>
      </c>
      <c r="C122" s="137" t="s">
        <v>54</v>
      </c>
      <c r="D122" s="133" t="s">
        <v>40</v>
      </c>
      <c r="E122" s="134" t="s">
        <v>123</v>
      </c>
      <c r="F122" s="476" t="s">
        <v>51</v>
      </c>
      <c r="G122" s="135" t="str">
        <f>VLOOKUP(A122,Plano_V3!$A$26:$G$768,7,0)</f>
        <v>4. Validação EF</v>
      </c>
      <c r="H122" s="135" t="s">
        <v>614</v>
      </c>
      <c r="I122" s="473"/>
      <c r="J122" s="359" t="s">
        <v>2425</v>
      </c>
      <c r="K122" s="359" t="s">
        <v>2242</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2242</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customHeight="1">
      <c r="A124" s="29" t="str">
        <f t="shared" si="2"/>
        <v>modesg_param_sfics_taxon_europeianivel</v>
      </c>
      <c r="B124" s="141" t="s">
        <v>26</v>
      </c>
      <c r="C124" s="137" t="s">
        <v>181</v>
      </c>
      <c r="D124" s="133" t="s">
        <v>40</v>
      </c>
      <c r="E124" s="134" t="s">
        <v>2097</v>
      </c>
      <c r="F124" s="476" t="s">
        <v>2409</v>
      </c>
      <c r="G124" s="135" t="str">
        <f>VLOOKUP(A124,Plano_V3!$A$26:$G$768,7,0)</f>
        <v xml:space="preserve">6. Em implementação </v>
      </c>
      <c r="H124" s="135" t="s">
        <v>2320</v>
      </c>
      <c r="I124" s="473"/>
      <c r="J124" s="153"/>
      <c r="K124" s="359" t="s">
        <v>2242</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2242</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2242</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2242</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2242</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2242</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2242</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2242</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2242</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2242</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2242</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2242</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2242</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2242</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2242</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2"/>
      <c r="K139" s="359" t="s">
        <v>2242</v>
      </c>
      <c r="L139" s="492"/>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customHeight="1">
      <c r="A140" s="29" t="str">
        <f t="shared" si="3"/>
        <v>modesg_param_sfics_taxon_europeiaambito</v>
      </c>
      <c r="B140" s="141" t="s">
        <v>26</v>
      </c>
      <c r="C140" s="137" t="s">
        <v>181</v>
      </c>
      <c r="D140" s="133" t="s">
        <v>40</v>
      </c>
      <c r="E140" s="134" t="s">
        <v>2097</v>
      </c>
      <c r="F140" s="476" t="s">
        <v>390</v>
      </c>
      <c r="G140" s="135" t="str">
        <f>VLOOKUP(A140,Plano_V3!$A$26:$G$768,7,0)</f>
        <v xml:space="preserve">6. Em implementação </v>
      </c>
      <c r="H140" s="135" t="s">
        <v>2320</v>
      </c>
      <c r="I140" s="473"/>
      <c r="J140" s="153"/>
      <c r="K140" s="359" t="s">
        <v>2242</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2242</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2242</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2242</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2242</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2242</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2242</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2242</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2242</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2242</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2242</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2242</v>
      </c>
      <c r="L151" s="491"/>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90"/>
      <c r="K152" s="359" t="s">
        <v>2242</v>
      </c>
      <c r="L152" s="490"/>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90"/>
      <c r="K153" s="359" t="s">
        <v>2242</v>
      </c>
      <c r="L153" s="490"/>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90"/>
      <c r="K154" s="359" t="s">
        <v>2242</v>
      </c>
      <c r="L154" s="490"/>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2242</v>
      </c>
      <c r="L155" s="490"/>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2242</v>
      </c>
      <c r="L156" s="490"/>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2242</v>
      </c>
      <c r="L157" s="491"/>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2242</v>
      </c>
      <c r="L158" s="153"/>
      <c r="M158" s="152"/>
      <c r="N158" s="152"/>
      <c r="O158" s="152"/>
      <c r="P158" s="202"/>
      <c r="Q158" s="202"/>
      <c r="R158" s="203"/>
      <c r="S158" s="324"/>
      <c r="T158" s="324"/>
      <c r="U158" s="372" t="s">
        <v>2321</v>
      </c>
      <c r="V158" s="324"/>
    </row>
    <row r="159" spans="1:22" ht="16.399999999999999"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2242</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2242</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2242</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2242</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2242</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2242</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2242</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2242</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2242</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customHeight="1">
      <c r="A168" s="29" t="str">
        <f t="shared" si="3"/>
        <v>lt006_instr_protprtctn_allctd_vl</v>
      </c>
      <c r="B168" s="141" t="s">
        <v>26</v>
      </c>
      <c r="C168" s="137" t="s">
        <v>26</v>
      </c>
      <c r="D168" s="133" t="s">
        <v>40</v>
      </c>
      <c r="E168" s="136" t="s">
        <v>441</v>
      </c>
      <c r="F168" s="480" t="s">
        <v>442</v>
      </c>
      <c r="G168" s="135" t="str">
        <f>VLOOKUP(A168,Plano_V3!$A$26:$G$768,7,0)</f>
        <v xml:space="preserve">6. Em implementação </v>
      </c>
      <c r="H168" s="135" t="s">
        <v>2320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customHeight="1">
      <c r="A169" s="29" t="str">
        <f t="shared" si="3"/>
        <v>lt003_entityesg_sbsctr</v>
      </c>
      <c r="B169" s="141" t="s">
        <v>26</v>
      </c>
      <c r="C169" s="137" t="s">
        <v>26</v>
      </c>
      <c r="D169" s="133" t="s">
        <v>40</v>
      </c>
      <c r="E169" s="136" t="s">
        <v>335</v>
      </c>
      <c r="F169" s="480" t="s">
        <v>360</v>
      </c>
      <c r="G169" s="489"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customHeight="1">
      <c r="A170" s="29" t="str">
        <f t="shared" si="3"/>
        <v>lt004_protectiontyp_ep_scr</v>
      </c>
      <c r="B170" s="141" t="s">
        <v>26</v>
      </c>
      <c r="C170" s="137" t="s">
        <v>26</v>
      </c>
      <c r="D170" s="133" t="s">
        <v>40</v>
      </c>
      <c r="E170" s="136" t="s">
        <v>368</v>
      </c>
      <c r="F170" s="480" t="s">
        <v>369</v>
      </c>
      <c r="G170" s="135" t="str">
        <f>VLOOKUP(A170,Plano_V3!$A$26:$G$768,7,0)</f>
        <v>4. Validação EF</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customHeight="1">
      <c r="A171" s="29" t="str">
        <f t="shared" si="3"/>
        <v>lt004_protectionep_scr</v>
      </c>
      <c r="B171" s="141" t="s">
        <v>26</v>
      </c>
      <c r="C171" s="137" t="s">
        <v>26</v>
      </c>
      <c r="D171" s="133" t="s">
        <v>40</v>
      </c>
      <c r="E171" s="136" t="s">
        <v>368</v>
      </c>
      <c r="F171" s="480" t="s">
        <v>370</v>
      </c>
      <c r="G171" s="135" t="str">
        <f>VLOOKUP(A171,Plano_V3!$A$26:$G$768,7,0)</f>
        <v>4. Validação EF</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customHeight="1">
      <c r="A172" s="29" t="str">
        <f t="shared" si="3"/>
        <v>lt002_instrumentmthd_usd_instrmnt_scp_1</v>
      </c>
      <c r="B172" s="141" t="s">
        <v>26</v>
      </c>
      <c r="C172" s="137" t="s">
        <v>26</v>
      </c>
      <c r="D172" s="133" t="s">
        <v>40</v>
      </c>
      <c r="E172" s="136" t="s">
        <v>379</v>
      </c>
      <c r="F172" s="480" t="s">
        <v>385</v>
      </c>
      <c r="G172" s="489"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customHeight="1">
      <c r="A173" s="29" t="str">
        <f t="shared" si="3"/>
        <v>lt002_instrumentmthd_usd_instrmnt_scp_2</v>
      </c>
      <c r="B173" s="141" t="s">
        <v>26</v>
      </c>
      <c r="C173" s="137" t="s">
        <v>26</v>
      </c>
      <c r="D173" s="133" t="s">
        <v>40</v>
      </c>
      <c r="E173" s="136" t="s">
        <v>379</v>
      </c>
      <c r="F173" s="480" t="s">
        <v>386</v>
      </c>
      <c r="G173" s="489"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customHeight="1">
      <c r="A174" s="29" t="str">
        <f t="shared" si="3"/>
        <v>lt002_instrumentmthd_usd_instrmnt_scp_3</v>
      </c>
      <c r="B174" s="141" t="s">
        <v>26</v>
      </c>
      <c r="C174" s="137" t="s">
        <v>26</v>
      </c>
      <c r="D174" s="133" t="s">
        <v>40</v>
      </c>
      <c r="E174" s="136" t="s">
        <v>379</v>
      </c>
      <c r="F174" s="480" t="s">
        <v>387</v>
      </c>
      <c r="G174" s="489"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customHeight="1">
      <c r="A175" s="29" t="str">
        <f t="shared" si="3"/>
        <v>lt007_instr_activitysstnbl_indctr</v>
      </c>
      <c r="B175" s="141" t="s">
        <v>26</v>
      </c>
      <c r="C175" s="137" t="s">
        <v>26</v>
      </c>
      <c r="D175" s="133" t="s">
        <v>40</v>
      </c>
      <c r="E175" s="136" t="s">
        <v>1860</v>
      </c>
      <c r="F175" s="480" t="s">
        <v>418</v>
      </c>
      <c r="G175" s="135" t="str">
        <f>VLOOKUP(A175,Plano_V3!$A$26:$G$768,7,0)</f>
        <v>1. Concluído</v>
      </c>
      <c r="H175" s="135" t="s">
        <v>612</v>
      </c>
      <c r="I175" s="473"/>
      <c r="J175" s="359" t="s">
        <v>2242</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2355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customHeight="1">
      <c r="A180" s="29" t="str">
        <f t="shared" si="3"/>
        <v>lt003_entitynace_esg</v>
      </c>
      <c r="B180" s="141" t="s">
        <v>26</v>
      </c>
      <c r="C180" s="137" t="s">
        <v>26</v>
      </c>
      <c r="D180" s="133" t="s">
        <v>40</v>
      </c>
      <c r="E180" s="136" t="s">
        <v>335</v>
      </c>
      <c r="F180" s="480" t="s">
        <v>336</v>
      </c>
      <c r="G180" s="489"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customHeight="1">
      <c r="A181" s="29" t="str">
        <f t="shared" si="3"/>
        <v>lt003_entityflg_act_physcl_rsk</v>
      </c>
      <c r="B181" s="141" t="s">
        <v>26</v>
      </c>
      <c r="C181" s="137" t="s">
        <v>26</v>
      </c>
      <c r="D181" s="133" t="s">
        <v>40</v>
      </c>
      <c r="E181" s="136" t="s">
        <v>335</v>
      </c>
      <c r="F181" s="480" t="s">
        <v>357</v>
      </c>
      <c r="G181" s="489"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customHeight="1">
      <c r="A182" s="29" t="str">
        <f t="shared" si="3"/>
        <v>lt003_entityflg_chrnc_physcl_rsk</v>
      </c>
      <c r="B182" s="141" t="s">
        <v>26</v>
      </c>
      <c r="C182" s="137" t="s">
        <v>26</v>
      </c>
      <c r="D182" s="133" t="s">
        <v>40</v>
      </c>
      <c r="E182" s="136" t="s">
        <v>335</v>
      </c>
      <c r="F182" s="480" t="s">
        <v>358</v>
      </c>
      <c r="G182" s="489"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customHeight="1">
      <c r="A183" s="29" t="str">
        <f t="shared" si="3"/>
        <v>lt002_instrumentrsk_mtgtd_ccp</v>
      </c>
      <c r="B183" s="141" t="s">
        <v>26</v>
      </c>
      <c r="C183" s="137" t="s">
        <v>26</v>
      </c>
      <c r="D183" s="133" t="s">
        <v>40</v>
      </c>
      <c r="E183" s="136" t="s">
        <v>379</v>
      </c>
      <c r="F183" s="480" t="s">
        <v>381</v>
      </c>
      <c r="G183" s="489"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customHeight="1">
      <c r="A184" s="29" t="str">
        <f t="shared" si="3"/>
        <v>lt007_instr_activityCOD_SOC</v>
      </c>
      <c r="B184" s="141" t="s">
        <v>26</v>
      </c>
      <c r="C184" s="137" t="s">
        <v>26</v>
      </c>
      <c r="D184" s="133" t="s">
        <v>40</v>
      </c>
      <c r="E184" s="136" t="s">
        <v>1860</v>
      </c>
      <c r="F184" s="480" t="s">
        <v>1293</v>
      </c>
      <c r="G184" s="135" t="str">
        <f>VLOOKUP(A184,Plano_V3!$A$26:$G$768,7,0)</f>
        <v xml:space="preserve">6. Em implementação </v>
      </c>
      <c r="H184" s="135" t="s">
        <v>2320</v>
      </c>
      <c r="I184" s="473"/>
      <c r="J184" s="359" t="s">
        <v>2241</v>
      </c>
      <c r="K184" s="359" t="s">
        <v>2355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customHeight="1">
      <c r="A185" s="29" t="str">
        <f t="shared" si="3"/>
        <v>lt007_instr_activityDT_RFRNC</v>
      </c>
      <c r="B185" s="141" t="s">
        <v>26</v>
      </c>
      <c r="C185" s="137" t="s">
        <v>26</v>
      </c>
      <c r="D185" s="133" t="s">
        <v>40</v>
      </c>
      <c r="E185" s="136" t="s">
        <v>1860</v>
      </c>
      <c r="F185" s="480" t="s">
        <v>1298</v>
      </c>
      <c r="G185" s="135" t="str">
        <f>VLOOKUP(A185,Plano_V3!$A$26:$G$768,7,0)</f>
        <v xml:space="preserve">6. Em implementação </v>
      </c>
      <c r="H185" s="135" t="s">
        <v>2320</v>
      </c>
      <c r="I185" s="473"/>
      <c r="J185" s="359" t="s">
        <v>2240</v>
      </c>
      <c r="K185" s="359" t="s">
        <v>2355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customHeight="1">
      <c r="A186" s="29" t="str">
        <f t="shared" si="3"/>
        <v>lt007_instr_activityINSTRMNT_ID</v>
      </c>
      <c r="B186" s="141" t="s">
        <v>26</v>
      </c>
      <c r="C186" s="137" t="s">
        <v>26</v>
      </c>
      <c r="D186" s="133" t="s">
        <v>40</v>
      </c>
      <c r="E186" s="136" t="s">
        <v>1860</v>
      </c>
      <c r="F186" s="480" t="s">
        <v>1307</v>
      </c>
      <c r="G186" s="135" t="str">
        <f>VLOOKUP(A186,Plano_V3!$A$26:$G$768,7,0)</f>
        <v xml:space="preserve">6. Em implementação </v>
      </c>
      <c r="H186" s="135" t="s">
        <v>2320</v>
      </c>
      <c r="I186" s="473"/>
      <c r="J186" s="359" t="s">
        <v>2241</v>
      </c>
      <c r="K186" s="359" t="s">
        <v>2355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customHeight="1">
      <c r="A187" s="29" t="str">
        <f t="shared" si="3"/>
        <v>lt007_instr_activityFLG_DNSH_CMPLNC</v>
      </c>
      <c r="B187" s="141" t="s">
        <v>26</v>
      </c>
      <c r="C187" s="137" t="s">
        <v>26</v>
      </c>
      <c r="D187" s="133" t="s">
        <v>40</v>
      </c>
      <c r="E187" s="136" t="s">
        <v>1860</v>
      </c>
      <c r="F187" s="480" t="s">
        <v>2294</v>
      </c>
      <c r="G187" s="135" t="str">
        <f>VLOOKUP(A187,Plano_V3!$A$26:$G$768,7,0)</f>
        <v xml:space="preserve">6. Em implementação </v>
      </c>
      <c r="H187" s="135" t="s">
        <v>2320</v>
      </c>
      <c r="I187" s="473"/>
      <c r="J187" s="359" t="s">
        <v>2307</v>
      </c>
      <c r="K187" s="359" t="s">
        <v>2355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customHeight="1">
      <c r="A188" s="29" t="str">
        <f t="shared" si="3"/>
        <v>lt007_instr_activityDNSH_DTL</v>
      </c>
      <c r="B188" s="141" t="s">
        <v>26</v>
      </c>
      <c r="C188" s="137" t="s">
        <v>26</v>
      </c>
      <c r="D188" s="133" t="s">
        <v>40</v>
      </c>
      <c r="E188" s="136" t="s">
        <v>1860</v>
      </c>
      <c r="F188" s="480" t="s">
        <v>2295</v>
      </c>
      <c r="G188" s="135" t="str">
        <f>VLOOKUP(A188,Plano_V3!$A$26:$G$768,7,0)</f>
        <v xml:space="preserve">6. Em implementação </v>
      </c>
      <c r="H188" s="135" t="s">
        <v>2320</v>
      </c>
      <c r="I188" s="473"/>
      <c r="J188" s="359" t="s">
        <v>2307</v>
      </c>
      <c r="K188" s="359" t="s">
        <v>2355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customHeight="1">
      <c r="A189" s="29" t="str">
        <f t="shared" si="3"/>
        <v>lt002_instrumentFLG_MNMM_SFGRDS</v>
      </c>
      <c r="B189" s="141" t="s">
        <v>26</v>
      </c>
      <c r="C189" s="137" t="s">
        <v>26</v>
      </c>
      <c r="D189" s="133" t="s">
        <v>40</v>
      </c>
      <c r="E189" s="136" t="s">
        <v>379</v>
      </c>
      <c r="F189" s="480" t="s">
        <v>2175</v>
      </c>
      <c r="G189" s="135" t="str">
        <f>VLOOKUP(A189,Plano_V3!$A$26:$G$768,7,0)</f>
        <v xml:space="preserve">6. Em implementação </v>
      </c>
      <c r="H189" s="135" t="s">
        <v>2320</v>
      </c>
      <c r="I189" s="473"/>
      <c r="J189" s="142" t="s">
        <v>2304</v>
      </c>
      <c r="K189" s="359" t="s">
        <v>2355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customHeight="1">
      <c r="A190" s="29" t="str">
        <f t="shared" si="3"/>
        <v>lt003_entitytxnmy_elgbl_capex_w</v>
      </c>
      <c r="B190" s="141" t="s">
        <v>26</v>
      </c>
      <c r="C190" s="137" t="s">
        <v>26</v>
      </c>
      <c r="D190" s="133" t="s">
        <v>40</v>
      </c>
      <c r="E190" s="136" t="s">
        <v>335</v>
      </c>
      <c r="F190" s="480" t="s">
        <v>2196</v>
      </c>
      <c r="G190" s="135" t="str">
        <f>VLOOKUP(A190,Plano_V3!$A$26:$G$768,7,0)</f>
        <v xml:space="preserve">6. Em implementação </v>
      </c>
      <c r="H190" s="135" t="s">
        <v>2320</v>
      </c>
      <c r="I190" s="473"/>
      <c r="J190" s="359" t="s">
        <v>2243</v>
      </c>
      <c r="K190" s="359" t="s">
        <v>2400</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customHeight="1">
      <c r="A191" s="29" t="str">
        <f t="shared" si="3"/>
        <v>lt003_entitytxnmy_elgbl_trnvr_w</v>
      </c>
      <c r="B191" s="141" t="s">
        <v>26</v>
      </c>
      <c r="C191" s="137" t="s">
        <v>26</v>
      </c>
      <c r="D191" s="133" t="s">
        <v>40</v>
      </c>
      <c r="E191" s="136" t="s">
        <v>335</v>
      </c>
      <c r="F191" s="480" t="s">
        <v>2197</v>
      </c>
      <c r="G191" s="135" t="str">
        <f>VLOOKUP(A191,Plano_V3!$A$26:$G$768,7,0)</f>
        <v xml:space="preserve">6. Em implementação </v>
      </c>
      <c r="H191" s="135" t="s">
        <v>2320</v>
      </c>
      <c r="I191" s="473"/>
      <c r="J191" s="359" t="s">
        <v>2243</v>
      </c>
      <c r="K191" s="359" t="s">
        <v>2400</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customHeight="1">
      <c r="A192" s="29" t="str">
        <f t="shared" si="3"/>
        <v>lt003_entitytxnmy_elgbl_capex_p</v>
      </c>
      <c r="B192" s="141" t="s">
        <v>26</v>
      </c>
      <c r="C192" s="137" t="s">
        <v>26</v>
      </c>
      <c r="D192" s="133" t="s">
        <v>40</v>
      </c>
      <c r="E192" s="136" t="s">
        <v>335</v>
      </c>
      <c r="F192" s="480" t="s">
        <v>2198</v>
      </c>
      <c r="G192" s="135" t="str">
        <f>VLOOKUP(A192,Plano_V3!$A$26:$G$768,7,0)</f>
        <v xml:space="preserve">6. Em implementação </v>
      </c>
      <c r="H192" s="135" t="s">
        <v>2320</v>
      </c>
      <c r="I192" s="473"/>
      <c r="J192" s="359" t="s">
        <v>2243</v>
      </c>
      <c r="K192" s="359" t="s">
        <v>2400</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customHeight="1">
      <c r="A193" s="29" t="str">
        <f t="shared" si="3"/>
        <v>lt003_entitytxnmy_elgbl_trnvr_p</v>
      </c>
      <c r="B193" s="141" t="s">
        <v>26</v>
      </c>
      <c r="C193" s="137" t="s">
        <v>26</v>
      </c>
      <c r="D193" s="133" t="s">
        <v>40</v>
      </c>
      <c r="E193" s="136" t="s">
        <v>335</v>
      </c>
      <c r="F193" s="480" t="s">
        <v>2199</v>
      </c>
      <c r="G193" s="135" t="str">
        <f>VLOOKUP(A193,Plano_V3!$A$26:$G$768,7,0)</f>
        <v xml:space="preserve">6. Em implementação </v>
      </c>
      <c r="H193" s="135" t="s">
        <v>2320</v>
      </c>
      <c r="I193" s="473"/>
      <c r="J193" s="359" t="s">
        <v>2243</v>
      </c>
      <c r="K193" s="359" t="s">
        <v>2400</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customHeight="1">
      <c r="A194" s="29" t="str">
        <f t="shared" si="3"/>
        <v>lt003_entitytxnmy_elgbl_capex_b</v>
      </c>
      <c r="B194" s="141" t="s">
        <v>26</v>
      </c>
      <c r="C194" s="137" t="s">
        <v>26</v>
      </c>
      <c r="D194" s="133" t="s">
        <v>40</v>
      </c>
      <c r="E194" s="136" t="s">
        <v>335</v>
      </c>
      <c r="F194" s="480" t="s">
        <v>2200</v>
      </c>
      <c r="G194" s="135" t="str">
        <f>VLOOKUP(A194,Plano_V3!$A$26:$G$768,7,0)</f>
        <v xml:space="preserve">6. Em implementação </v>
      </c>
      <c r="H194" s="135" t="s">
        <v>2320</v>
      </c>
      <c r="I194" s="473"/>
      <c r="J194" s="359" t="s">
        <v>2243</v>
      </c>
      <c r="K194" s="359" t="s">
        <v>2400</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customHeight="1">
      <c r="A195" s="29" t="str">
        <f t="shared" si="3"/>
        <v>lt003_entitytxnmy_elgbl_trnvr_b</v>
      </c>
      <c r="B195" s="141" t="s">
        <v>26</v>
      </c>
      <c r="C195" s="137" t="s">
        <v>26</v>
      </c>
      <c r="D195" s="133" t="s">
        <v>40</v>
      </c>
      <c r="E195" s="136" t="s">
        <v>335</v>
      </c>
      <c r="F195" s="480" t="s">
        <v>2201</v>
      </c>
      <c r="G195" s="135" t="str">
        <f>VLOOKUP(A195,Plano_V3!$A$26:$G$768,7,0)</f>
        <v xml:space="preserve">6. Em implementação </v>
      </c>
      <c r="H195" s="135" t="s">
        <v>2320</v>
      </c>
      <c r="I195" s="473"/>
      <c r="J195" s="359" t="s">
        <v>2243</v>
      </c>
      <c r="K195" s="359" t="s">
        <v>2400</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customHeight="1">
      <c r="A196" s="29" t="str">
        <f t="shared" si="3"/>
        <v>lt003_entitytxnmy_elgbl_capex_ce</v>
      </c>
      <c r="B196" s="141" t="s">
        <v>26</v>
      </c>
      <c r="C196" s="137" t="s">
        <v>26</v>
      </c>
      <c r="D196" s="133" t="s">
        <v>40</v>
      </c>
      <c r="E196" s="136" t="s">
        <v>335</v>
      </c>
      <c r="F196" s="480" t="s">
        <v>2202</v>
      </c>
      <c r="G196" s="135" t="str">
        <f>VLOOKUP(A196,Plano_V3!$A$26:$G$768,7,0)</f>
        <v xml:space="preserve">6. Em implementação </v>
      </c>
      <c r="H196" s="135" t="s">
        <v>2320</v>
      </c>
      <c r="I196" s="473"/>
      <c r="J196" s="359" t="s">
        <v>2243</v>
      </c>
      <c r="K196" s="359" t="s">
        <v>2400</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customHeight="1">
      <c r="A197" s="29" t="str">
        <f t="shared" si="3"/>
        <v>lt003_entitytxnmy_elgbl_trnvr_ce</v>
      </c>
      <c r="B197" s="141" t="s">
        <v>26</v>
      </c>
      <c r="C197" s="137" t="s">
        <v>26</v>
      </c>
      <c r="D197" s="133" t="s">
        <v>40</v>
      </c>
      <c r="E197" s="136" t="s">
        <v>335</v>
      </c>
      <c r="F197" s="480" t="s">
        <v>2203</v>
      </c>
      <c r="G197" s="135" t="str">
        <f>VLOOKUP(A197,Plano_V3!$A$26:$G$768,7,0)</f>
        <v xml:space="preserve">6. Em implementação </v>
      </c>
      <c r="H197" s="135" t="s">
        <v>2320</v>
      </c>
      <c r="I197" s="473"/>
      <c r="J197" s="359" t="s">
        <v>2243</v>
      </c>
      <c r="K197" s="359" t="s">
        <v>2400</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customHeight="1">
      <c r="A198" s="29" t="str">
        <f t="shared" si="3"/>
        <v>lt003_entitypure_capex_p</v>
      </c>
      <c r="B198" s="141" t="s">
        <v>26</v>
      </c>
      <c r="C198" s="137" t="s">
        <v>26</v>
      </c>
      <c r="D198" s="133" t="s">
        <v>40</v>
      </c>
      <c r="E198" s="136" t="s">
        <v>335</v>
      </c>
      <c r="F198" s="480" t="s">
        <v>2204</v>
      </c>
      <c r="G198" s="135" t="str">
        <f>VLOOKUP(A198,Plano_V3!$A$26:$G$768,7,0)</f>
        <v xml:space="preserve">6. Em implementação </v>
      </c>
      <c r="H198" s="135" t="s">
        <v>2320</v>
      </c>
      <c r="I198" s="473"/>
      <c r="J198" s="359" t="s">
        <v>2243</v>
      </c>
      <c r="K198" s="359" t="s">
        <v>2400</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customHeight="1">
      <c r="A199" s="29" t="str">
        <f t="shared" si="3"/>
        <v>lt003_entitypure_trnvr_p</v>
      </c>
      <c r="B199" s="141" t="s">
        <v>26</v>
      </c>
      <c r="C199" s="137" t="s">
        <v>26</v>
      </c>
      <c r="D199" s="133" t="s">
        <v>40</v>
      </c>
      <c r="E199" s="136" t="s">
        <v>335</v>
      </c>
      <c r="F199" s="480" t="s">
        <v>2205</v>
      </c>
      <c r="G199" s="135" t="str">
        <f>VLOOKUP(A199,Plano_V3!$A$26:$G$768,7,0)</f>
        <v xml:space="preserve">6. Em implementação </v>
      </c>
      <c r="H199" s="135" t="s">
        <v>2320</v>
      </c>
      <c r="I199" s="473"/>
      <c r="J199" s="359" t="s">
        <v>2243</v>
      </c>
      <c r="K199" s="359" t="s">
        <v>2400</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customHeight="1">
      <c r="A200" s="29" t="str">
        <f t="shared" si="3"/>
        <v>lt003_entitypure_capex_b</v>
      </c>
      <c r="B200" s="141" t="s">
        <v>26</v>
      </c>
      <c r="C200" s="137" t="s">
        <v>26</v>
      </c>
      <c r="D200" s="133" t="s">
        <v>40</v>
      </c>
      <c r="E200" s="136" t="s">
        <v>335</v>
      </c>
      <c r="F200" s="480" t="s">
        <v>2206</v>
      </c>
      <c r="G200" s="135" t="str">
        <f>VLOOKUP(A200,Plano_V3!$A$26:$G$768,7,0)</f>
        <v xml:space="preserve">6. Em implementação </v>
      </c>
      <c r="H200" s="135" t="s">
        <v>2320</v>
      </c>
      <c r="I200" s="473"/>
      <c r="J200" s="359" t="s">
        <v>2243</v>
      </c>
      <c r="K200" s="359" t="s">
        <v>2400</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customHeight="1">
      <c r="A201" s="29" t="str">
        <f t="shared" ref="A201:A266" si="4">E201&amp;F201</f>
        <v>lt003_entitypure_trnvr_b</v>
      </c>
      <c r="B201" s="141" t="s">
        <v>26</v>
      </c>
      <c r="C201" s="137" t="s">
        <v>26</v>
      </c>
      <c r="D201" s="133" t="s">
        <v>40</v>
      </c>
      <c r="E201" s="136" t="s">
        <v>335</v>
      </c>
      <c r="F201" s="480" t="s">
        <v>2207</v>
      </c>
      <c r="G201" s="135" t="str">
        <f>VLOOKUP(A201,Plano_V3!$A$26:$G$768,7,0)</f>
        <v xml:space="preserve">6. Em implementação </v>
      </c>
      <c r="H201" s="135" t="s">
        <v>2320</v>
      </c>
      <c r="I201" s="473"/>
      <c r="J201" s="359" t="s">
        <v>2243</v>
      </c>
      <c r="K201" s="359" t="s">
        <v>2400</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customHeight="1">
      <c r="A202" s="29" t="str">
        <f t="shared" si="4"/>
        <v>lt003_entitypure_capex_w</v>
      </c>
      <c r="B202" s="141" t="s">
        <v>26</v>
      </c>
      <c r="C202" s="137" t="s">
        <v>26</v>
      </c>
      <c r="D202" s="133" t="s">
        <v>40</v>
      </c>
      <c r="E202" s="136" t="s">
        <v>335</v>
      </c>
      <c r="F202" s="480" t="s">
        <v>2208</v>
      </c>
      <c r="G202" s="135" t="str">
        <f>VLOOKUP(A202,Plano_V3!$A$26:$G$768,7,0)</f>
        <v xml:space="preserve">6. Em implementação </v>
      </c>
      <c r="H202" s="135" t="s">
        <v>2320</v>
      </c>
      <c r="I202" s="473"/>
      <c r="J202" s="359" t="s">
        <v>2243</v>
      </c>
      <c r="K202" s="359" t="s">
        <v>2400</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customHeight="1">
      <c r="A203" s="29" t="str">
        <f t="shared" si="4"/>
        <v>lt003_entitypure_trnvr_w</v>
      </c>
      <c r="B203" s="141" t="s">
        <v>26</v>
      </c>
      <c r="C203" s="137" t="s">
        <v>26</v>
      </c>
      <c r="D203" s="133" t="s">
        <v>40</v>
      </c>
      <c r="E203" s="136" t="s">
        <v>335</v>
      </c>
      <c r="F203" s="480" t="s">
        <v>2209</v>
      </c>
      <c r="G203" s="135" t="str">
        <f>VLOOKUP(A203,Plano_V3!$A$26:$G$768,7,0)</f>
        <v xml:space="preserve">6. Em implementação </v>
      </c>
      <c r="H203" s="135" t="s">
        <v>2320</v>
      </c>
      <c r="I203" s="473"/>
      <c r="J203" s="359" t="s">
        <v>2243</v>
      </c>
      <c r="K203" s="359" t="s">
        <v>2400</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customHeight="1">
      <c r="A204" s="29" t="str">
        <f t="shared" si="4"/>
        <v>lt003_entitypure_capex_ce</v>
      </c>
      <c r="B204" s="141" t="s">
        <v>26</v>
      </c>
      <c r="C204" s="137" t="s">
        <v>26</v>
      </c>
      <c r="D204" s="133" t="s">
        <v>40</v>
      </c>
      <c r="E204" s="136" t="s">
        <v>335</v>
      </c>
      <c r="F204" s="480" t="s">
        <v>2210</v>
      </c>
      <c r="G204" s="135" t="str">
        <f>VLOOKUP(A204,Plano_V3!$A$26:$G$768,7,0)</f>
        <v xml:space="preserve">6. Em implementação </v>
      </c>
      <c r="H204" s="135" t="s">
        <v>2320</v>
      </c>
      <c r="I204" s="473"/>
      <c r="J204" s="359" t="s">
        <v>2243</v>
      </c>
      <c r="K204" s="359" t="s">
        <v>2400</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customHeight="1">
      <c r="A205" s="29" t="str">
        <f t="shared" si="4"/>
        <v>lt003_entitypure_trnvr_ce</v>
      </c>
      <c r="B205" s="141" t="s">
        <v>26</v>
      </c>
      <c r="C205" s="137" t="s">
        <v>26</v>
      </c>
      <c r="D205" s="133" t="s">
        <v>40</v>
      </c>
      <c r="E205" s="136" t="s">
        <v>335</v>
      </c>
      <c r="F205" s="480" t="s">
        <v>2211</v>
      </c>
      <c r="G205" s="135" t="str">
        <f>VLOOKUP(A205,Plano_V3!$A$26:$G$768,7,0)</f>
        <v xml:space="preserve">6. Em implementação </v>
      </c>
      <c r="H205" s="135" t="s">
        <v>2320</v>
      </c>
      <c r="I205" s="473"/>
      <c r="J205" s="359" t="s">
        <v>2243</v>
      </c>
      <c r="K205" s="359" t="s">
        <v>2400</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customHeight="1">
      <c r="A206" s="29" t="str">
        <f t="shared" si="4"/>
        <v>lt003_entityenblng_capex_w</v>
      </c>
      <c r="B206" s="141" t="s">
        <v>26</v>
      </c>
      <c r="C206" s="137" t="s">
        <v>26</v>
      </c>
      <c r="D206" s="133" t="s">
        <v>40</v>
      </c>
      <c r="E206" s="136" t="s">
        <v>335</v>
      </c>
      <c r="F206" s="480" t="s">
        <v>2212</v>
      </c>
      <c r="G206" s="135" t="str">
        <f>VLOOKUP(A206,Plano_V3!$A$26:$G$768,7,0)</f>
        <v xml:space="preserve">6. Em implementação </v>
      </c>
      <c r="H206" s="135" t="s">
        <v>2320</v>
      </c>
      <c r="I206" s="473"/>
      <c r="J206" s="359" t="s">
        <v>2243</v>
      </c>
      <c r="K206" s="359" t="s">
        <v>2400</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customHeight="1">
      <c r="A207" s="29" t="str">
        <f t="shared" si="4"/>
        <v>lt003_entityenblng_trnvr_w</v>
      </c>
      <c r="B207" s="141" t="s">
        <v>26</v>
      </c>
      <c r="C207" s="137" t="s">
        <v>26</v>
      </c>
      <c r="D207" s="133" t="s">
        <v>40</v>
      </c>
      <c r="E207" s="136" t="s">
        <v>335</v>
      </c>
      <c r="F207" s="480" t="s">
        <v>2213</v>
      </c>
      <c r="G207" s="135" t="str">
        <f>VLOOKUP(A207,Plano_V3!$A$26:$G$768,7,0)</f>
        <v xml:space="preserve">6. Em implementação </v>
      </c>
      <c r="H207" s="135" t="s">
        <v>2320</v>
      </c>
      <c r="I207" s="473"/>
      <c r="J207" s="359" t="s">
        <v>2243</v>
      </c>
      <c r="K207" s="359" t="s">
        <v>2400</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customHeight="1">
      <c r="A208" s="29" t="str">
        <f t="shared" si="4"/>
        <v>lt003_entityenblng_capex_ce</v>
      </c>
      <c r="B208" s="141" t="s">
        <v>26</v>
      </c>
      <c r="C208" s="137" t="s">
        <v>26</v>
      </c>
      <c r="D208" s="133" t="s">
        <v>40</v>
      </c>
      <c r="E208" s="136" t="s">
        <v>335</v>
      </c>
      <c r="F208" s="480" t="s">
        <v>2214</v>
      </c>
      <c r="G208" s="135" t="str">
        <f>VLOOKUP(A208,Plano_V3!$A$26:$G$768,7,0)</f>
        <v xml:space="preserve">6. Em implementação </v>
      </c>
      <c r="H208" s="135" t="s">
        <v>2320</v>
      </c>
      <c r="I208" s="473"/>
      <c r="J208" s="359" t="s">
        <v>2243</v>
      </c>
      <c r="K208" s="359" t="s">
        <v>2400</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customHeight="1">
      <c r="A209" s="29" t="str">
        <f t="shared" si="4"/>
        <v>lt003_entityenblng_trnvr_ce</v>
      </c>
      <c r="B209" s="141" t="s">
        <v>26</v>
      </c>
      <c r="C209" s="137" t="s">
        <v>26</v>
      </c>
      <c r="D209" s="133" t="s">
        <v>40</v>
      </c>
      <c r="E209" s="136" t="s">
        <v>335</v>
      </c>
      <c r="F209" s="480" t="s">
        <v>2215</v>
      </c>
      <c r="G209" s="135" t="str">
        <f>VLOOKUP(A209,Plano_V3!$A$26:$G$768,7,0)</f>
        <v xml:space="preserve">6. Em implementação </v>
      </c>
      <c r="H209" s="135" t="s">
        <v>2320</v>
      </c>
      <c r="I209" s="473"/>
      <c r="J209" s="359" t="s">
        <v>2243</v>
      </c>
      <c r="K209" s="359" t="s">
        <v>2400</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customHeight="1">
      <c r="A210" s="29" t="str">
        <f t="shared" si="4"/>
        <v>lt004_protectionTYP_EMSSNS_LBL</v>
      </c>
      <c r="B210" s="141" t="s">
        <v>26</v>
      </c>
      <c r="C210" s="137" t="s">
        <v>26</v>
      </c>
      <c r="D210" s="133" t="s">
        <v>40</v>
      </c>
      <c r="E210" s="136" t="s">
        <v>368</v>
      </c>
      <c r="F210" s="480" t="s">
        <v>2247</v>
      </c>
      <c r="G210" s="135" t="str">
        <f>VLOOKUP(A210,Plano_V3!$A$26:$G$768,7,0)</f>
        <v xml:space="preserve">6. Em implementação </v>
      </c>
      <c r="H210" s="135" t="s">
        <v>2320</v>
      </c>
      <c r="I210" s="473"/>
      <c r="J210" s="359" t="s">
        <v>2307</v>
      </c>
      <c r="K210" s="359" t="s">
        <v>2355</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customHeight="1">
      <c r="A211" s="29" t="str">
        <f t="shared" si="4"/>
        <v>lt004_protectionVHCL_EMSSNS_LBL</v>
      </c>
      <c r="B211" s="141" t="s">
        <v>26</v>
      </c>
      <c r="C211" s="137" t="s">
        <v>26</v>
      </c>
      <c r="D211" s="133" t="s">
        <v>40</v>
      </c>
      <c r="E211" s="136" t="s">
        <v>368</v>
      </c>
      <c r="F211" s="480" t="s">
        <v>2249</v>
      </c>
      <c r="G211" s="135" t="str">
        <f>VLOOKUP(A211,Plano_V3!$A$26:$G$768,7,0)</f>
        <v xml:space="preserve">6. Em implementação </v>
      </c>
      <c r="H211" s="135" t="s">
        <v>2320</v>
      </c>
      <c r="I211" s="473"/>
      <c r="J211" s="359" t="s">
        <v>2307</v>
      </c>
      <c r="K211" s="359" t="s">
        <v>2355</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customHeight="1">
      <c r="A212" s="29" t="str">
        <f t="shared" si="4"/>
        <v>lt004_protectionVHCL_EMSSNS_SCR</v>
      </c>
      <c r="B212" s="141" t="s">
        <v>26</v>
      </c>
      <c r="C212" s="137" t="s">
        <v>26</v>
      </c>
      <c r="D212" s="133" t="s">
        <v>40</v>
      </c>
      <c r="E212" s="136" t="s">
        <v>368</v>
      </c>
      <c r="F212" s="480" t="s">
        <v>2252</v>
      </c>
      <c r="G212" s="135" t="str">
        <f>VLOOKUP(A212,Plano_V3!$A$26:$G$768,7,0)</f>
        <v xml:space="preserve">6. Em implementação </v>
      </c>
      <c r="H212" s="135" t="s">
        <v>2320</v>
      </c>
      <c r="I212" s="473"/>
      <c r="J212" s="359" t="s">
        <v>2307</v>
      </c>
      <c r="K212" s="359" t="s">
        <v>2355</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customHeight="1">
      <c r="A213" s="29" t="str">
        <f t="shared" si="4"/>
        <v>lt004_protectionINSRNC_ID</v>
      </c>
      <c r="B213" s="141" t="s">
        <v>26</v>
      </c>
      <c r="C213" s="137" t="s">
        <v>26</v>
      </c>
      <c r="D213" s="133" t="s">
        <v>40</v>
      </c>
      <c r="E213" s="136" t="s">
        <v>368</v>
      </c>
      <c r="F213" s="480" t="s">
        <v>2253</v>
      </c>
      <c r="G213" s="135" t="str">
        <f>VLOOKUP(A213,Plano_V3!$A$26:$G$768,7,0)</f>
        <v xml:space="preserve">6. Em implementação </v>
      </c>
      <c r="H213" s="135" t="s">
        <v>2320</v>
      </c>
      <c r="I213" s="473"/>
      <c r="J213" s="359" t="s">
        <v>2307</v>
      </c>
      <c r="K213" s="359" t="s">
        <v>2355</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customHeight="1">
      <c r="A214" s="29" t="str">
        <f t="shared" si="4"/>
        <v>lt004_protectionTYP_HZRDS_INSRD</v>
      </c>
      <c r="B214" s="141" t="s">
        <v>26</v>
      </c>
      <c r="C214" s="137" t="s">
        <v>26</v>
      </c>
      <c r="D214" s="133" t="s">
        <v>40</v>
      </c>
      <c r="E214" s="136" t="s">
        <v>368</v>
      </c>
      <c r="F214" s="480" t="s">
        <v>2254</v>
      </c>
      <c r="G214" s="135" t="str">
        <f>VLOOKUP(A214,Plano_V3!$A$26:$G$768,7,0)</f>
        <v xml:space="preserve">6. Em implementação </v>
      </c>
      <c r="H214" s="135" t="s">
        <v>2320</v>
      </c>
      <c r="I214" s="473"/>
      <c r="J214" s="359" t="s">
        <v>2307</v>
      </c>
      <c r="K214" s="359" t="s">
        <v>2355</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customHeight="1">
      <c r="A215" s="29" t="str">
        <f t="shared" si="4"/>
        <v>lt004_protectionAMNT_CVRD_INSRNC</v>
      </c>
      <c r="B215" s="141" t="s">
        <v>26</v>
      </c>
      <c r="C215" s="137" t="s">
        <v>26</v>
      </c>
      <c r="D215" s="133" t="s">
        <v>40</v>
      </c>
      <c r="E215" s="136" t="s">
        <v>368</v>
      </c>
      <c r="F215" s="480" t="s">
        <v>2255</v>
      </c>
      <c r="G215" s="135" t="str">
        <f>VLOOKUP(A215,Plano_V3!$A$26:$G$768,7,0)</f>
        <v xml:space="preserve">6. Em implementação </v>
      </c>
      <c r="H215" s="135" t="s">
        <v>2320</v>
      </c>
      <c r="I215" s="473"/>
      <c r="J215" s="359" t="s">
        <v>2307</v>
      </c>
      <c r="K215" s="359" t="s">
        <v>2355</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customHeight="1">
      <c r="A216" s="29" t="str">
        <f t="shared" si="4"/>
        <v>lt004_protectionDT_MTRTY_INSRNC</v>
      </c>
      <c r="B216" s="141" t="s">
        <v>26</v>
      </c>
      <c r="C216" s="137" t="s">
        <v>26</v>
      </c>
      <c r="D216" s="133" t="s">
        <v>40</v>
      </c>
      <c r="E216" s="136" t="s">
        <v>368</v>
      </c>
      <c r="F216" s="480" t="s">
        <v>2256</v>
      </c>
      <c r="G216" s="135" t="str">
        <f>VLOOKUP(A216,Plano_V3!$A$26:$G$768,7,0)</f>
        <v xml:space="preserve">6. Em implementação </v>
      </c>
      <c r="H216" s="135" t="s">
        <v>2320</v>
      </c>
      <c r="I216" s="473"/>
      <c r="J216" s="359" t="s">
        <v>2307</v>
      </c>
      <c r="K216" s="359" t="s">
        <v>2355</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customHeight="1">
      <c r="A217" s="29" t="str">
        <f t="shared" si="4"/>
        <v>lt004_protectionFLG_FRST_HM</v>
      </c>
      <c r="B217" s="141" t="s">
        <v>26</v>
      </c>
      <c r="C217" s="137" t="s">
        <v>26</v>
      </c>
      <c r="D217" s="133" t="s">
        <v>40</v>
      </c>
      <c r="E217" s="136" t="s">
        <v>368</v>
      </c>
      <c r="F217" s="480" t="s">
        <v>2257</v>
      </c>
      <c r="G217" s="135" t="str">
        <f>VLOOKUP(A217,Plano_V3!$A$26:$G$768,7,0)</f>
        <v xml:space="preserve">6. Em implementação </v>
      </c>
      <c r="H217" s="135" t="s">
        <v>2320</v>
      </c>
      <c r="I217" s="473"/>
      <c r="J217" s="359" t="s">
        <v>2307</v>
      </c>
      <c r="K217" s="359" t="s">
        <v>2355</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customHeight="1">
      <c r="A218" s="29" t="str">
        <f t="shared" ref="A218:A220" si="5">E218&amp;F218</f>
        <v>lt004_protectionRL_ESTT_CRTFCTN</v>
      </c>
      <c r="B218" s="141" t="s">
        <v>26</v>
      </c>
      <c r="C218" s="137" t="s">
        <v>26</v>
      </c>
      <c r="D218" s="133" t="s">
        <v>40</v>
      </c>
      <c r="E218" s="136" t="s">
        <v>368</v>
      </c>
      <c r="F218" s="480" t="s">
        <v>2260</v>
      </c>
      <c r="G218" s="135" t="str">
        <f>VLOOKUP(A218,Plano_V3!$A$26:$G$768,7,0)</f>
        <v xml:space="preserve">6. Em implementação </v>
      </c>
      <c r="H218" s="135" t="s">
        <v>2320</v>
      </c>
      <c r="I218" s="473"/>
      <c r="J218" s="359" t="s">
        <v>2307</v>
      </c>
      <c r="K218" s="359" t="s">
        <v>2355</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customHeight="1">
      <c r="A219" s="29" t="str">
        <f t="shared" si="5"/>
        <v>lt004_protectionDT_RGSTRTN</v>
      </c>
      <c r="B219" s="141" t="s">
        <v>26</v>
      </c>
      <c r="C219" s="137" t="s">
        <v>26</v>
      </c>
      <c r="D219" s="133" t="s">
        <v>40</v>
      </c>
      <c r="E219" s="136" t="s">
        <v>368</v>
      </c>
      <c r="F219" s="480" t="s">
        <v>2262</v>
      </c>
      <c r="G219" s="135" t="str">
        <f>VLOOKUP(A219,Plano_V3!$A$26:$G$768,7,0)</f>
        <v xml:space="preserve">6. Em implementação </v>
      </c>
      <c r="H219" s="135" t="s">
        <v>2320</v>
      </c>
      <c r="I219" s="473"/>
      <c r="J219" s="359" t="s">
        <v>2307</v>
      </c>
      <c r="K219" s="359" t="s">
        <v>2355</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customHeight="1">
      <c r="A220" s="29" t="str">
        <f t="shared" si="5"/>
        <v>lt004_protectionPRMRY_ENRGY_DMND_NN_RNWBL</v>
      </c>
      <c r="B220" s="141" t="s">
        <v>26</v>
      </c>
      <c r="C220" s="137" t="s">
        <v>26</v>
      </c>
      <c r="D220" s="133" t="s">
        <v>40</v>
      </c>
      <c r="E220" s="136" t="s">
        <v>368</v>
      </c>
      <c r="F220" s="480" t="s">
        <v>2263</v>
      </c>
      <c r="G220" s="135" t="str">
        <f>VLOOKUP(A220,Plano_V3!$A$26:$G$768,7,0)</f>
        <v xml:space="preserve">6. Em implementação </v>
      </c>
      <c r="H220" s="135" t="s">
        <v>2320</v>
      </c>
      <c r="I220" s="473"/>
      <c r="J220" s="359" t="s">
        <v>2240</v>
      </c>
      <c r="K220" s="359" t="s">
        <v>2355</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customHeight="1">
      <c r="A224" s="29" t="str">
        <f t="shared" si="4"/>
        <v>lt002_instrumentFRBRNC_STTS_INSTRMNT</v>
      </c>
      <c r="B224" s="141" t="s">
        <v>26</v>
      </c>
      <c r="C224" s="137" t="s">
        <v>26</v>
      </c>
      <c r="D224" s="133" t="s">
        <v>40</v>
      </c>
      <c r="E224" s="136" t="s">
        <v>379</v>
      </c>
      <c r="F224" s="480" t="s">
        <v>2164</v>
      </c>
      <c r="G224" s="135" t="str">
        <f>VLOOKUP(A224,Plano_V3!$A$26:$G$768,7,0)</f>
        <v xml:space="preserve">6. Em implementação </v>
      </c>
      <c r="H224" s="135" t="s">
        <v>2320</v>
      </c>
      <c r="I224" s="473"/>
      <c r="J224" s="142" t="s">
        <v>2310</v>
      </c>
      <c r="K224" s="359" t="s">
        <v>2438</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customHeight="1">
      <c r="A225" s="29" t="str">
        <f t="shared" si="4"/>
        <v>lt002_instrumentINTRNL_SGMNT</v>
      </c>
      <c r="B225" s="141" t="s">
        <v>26</v>
      </c>
      <c r="C225" s="137" t="s">
        <v>26</v>
      </c>
      <c r="D225" s="133" t="s">
        <v>40</v>
      </c>
      <c r="E225" s="136" t="s">
        <v>379</v>
      </c>
      <c r="F225" s="480" t="s">
        <v>2165</v>
      </c>
      <c r="G225" s="135" t="str">
        <f>VLOOKUP(A225,Plano_V3!$A$26:$G$768,7,0)</f>
        <v xml:space="preserve">6. Em implementação </v>
      </c>
      <c r="H225" s="135" t="s">
        <v>2320</v>
      </c>
      <c r="I225" s="473"/>
      <c r="J225" s="142" t="s">
        <v>2305</v>
      </c>
      <c r="K225" s="359" t="s">
        <v>2438</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customHeight="1">
      <c r="A226" s="29" t="str">
        <f t="shared" si="4"/>
        <v>lt002_instrumentDT_ORGNL_MTRTY</v>
      </c>
      <c r="B226" s="141" t="s">
        <v>26</v>
      </c>
      <c r="C226" s="137" t="s">
        <v>26</v>
      </c>
      <c r="D226" s="133" t="s">
        <v>40</v>
      </c>
      <c r="E226" s="136" t="s">
        <v>379</v>
      </c>
      <c r="F226" s="480" t="s">
        <v>2166</v>
      </c>
      <c r="G226" s="135" t="str">
        <f>VLOOKUP(A226,Plano_V3!$A$26:$G$768,7,0)</f>
        <v xml:space="preserve">6. Em implementação </v>
      </c>
      <c r="H226" s="135" t="s">
        <v>2320</v>
      </c>
      <c r="I226" s="473"/>
      <c r="J226" s="142" t="s">
        <v>2305</v>
      </c>
      <c r="K226" s="359" t="s">
        <v>2438</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customHeight="1">
      <c r="A227" s="29" t="str">
        <f t="shared" si="4"/>
        <v>lt002_instrumentEAD</v>
      </c>
      <c r="B227" s="141" t="s">
        <v>26</v>
      </c>
      <c r="C227" s="137" t="s">
        <v>26</v>
      </c>
      <c r="D227" s="133" t="s">
        <v>40</v>
      </c>
      <c r="E227" s="136" t="s">
        <v>379</v>
      </c>
      <c r="F227" s="480" t="s">
        <v>2167</v>
      </c>
      <c r="G227" s="135" t="str">
        <f>VLOOKUP(A227,Plano_V3!$A$26:$G$768,7,0)</f>
        <v xml:space="preserve">6. Em implementação </v>
      </c>
      <c r="H227" s="135" t="s">
        <v>2320</v>
      </c>
      <c r="I227" s="473"/>
      <c r="J227" s="142" t="s">
        <v>2305</v>
      </c>
      <c r="K227" s="359" t="s">
        <v>2438</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customHeight="1">
      <c r="A228" s="29" t="str">
        <f t="shared" si="4"/>
        <v>lt002_instrumentRWA</v>
      </c>
      <c r="B228" s="141" t="s">
        <v>26</v>
      </c>
      <c r="C228" s="137" t="s">
        <v>26</v>
      </c>
      <c r="D228" s="133" t="s">
        <v>40</v>
      </c>
      <c r="E228" s="136" t="s">
        <v>379</v>
      </c>
      <c r="F228" s="480" t="s">
        <v>1418</v>
      </c>
      <c r="G228" s="135" t="str">
        <f>VLOOKUP(A228,Plano_V3!$A$26:$G$768,7,0)</f>
        <v xml:space="preserve">6. Em implementação </v>
      </c>
      <c r="H228" s="135" t="s">
        <v>2320</v>
      </c>
      <c r="I228" s="473"/>
      <c r="J228" s="142" t="s">
        <v>2305</v>
      </c>
      <c r="K228" s="359" t="s">
        <v>2438</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customHeight="1">
      <c r="A229" s="29" t="str">
        <f t="shared" si="4"/>
        <v>lt002_instrumentLTV</v>
      </c>
      <c r="B229" s="141" t="s">
        <v>26</v>
      </c>
      <c r="C229" s="137" t="s">
        <v>26</v>
      </c>
      <c r="D229" s="133" t="s">
        <v>40</v>
      </c>
      <c r="E229" s="136" t="s">
        <v>379</v>
      </c>
      <c r="F229" s="480" t="s">
        <v>2168</v>
      </c>
      <c r="G229" s="135" t="str">
        <f>VLOOKUP(A229,Plano_V3!$A$26:$G$768,7,0)</f>
        <v xml:space="preserve">6. Em implementação </v>
      </c>
      <c r="H229" s="135" t="s">
        <v>2320</v>
      </c>
      <c r="I229" s="473"/>
      <c r="J229" s="142" t="s">
        <v>2305</v>
      </c>
      <c r="K229" s="359" t="s">
        <v>2438</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customHeight="1">
      <c r="A230" s="29" t="str">
        <f t="shared" si="4"/>
        <v>lt002_instrumentLTV_INCPTN</v>
      </c>
      <c r="B230" s="141" t="s">
        <v>26</v>
      </c>
      <c r="C230" s="137" t="s">
        <v>26</v>
      </c>
      <c r="D230" s="133" t="s">
        <v>40</v>
      </c>
      <c r="E230" s="136" t="s">
        <v>379</v>
      </c>
      <c r="F230" s="480" t="s">
        <v>2169</v>
      </c>
      <c r="G230" s="135" t="str">
        <f>VLOOKUP(A230,Plano_V3!$A$26:$G$768,7,0)</f>
        <v xml:space="preserve">6. Em implementação </v>
      </c>
      <c r="H230" s="135" t="s">
        <v>2320</v>
      </c>
      <c r="I230" s="473"/>
      <c r="J230" s="142" t="s">
        <v>2305</v>
      </c>
      <c r="K230" s="359" t="s">
        <v>2438</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customHeight="1">
      <c r="A231" s="29" t="str">
        <f t="shared" si="4"/>
        <v>lt002_instrumentEIR</v>
      </c>
      <c r="B231" s="141" t="s">
        <v>26</v>
      </c>
      <c r="C231" s="137" t="s">
        <v>26</v>
      </c>
      <c r="D231" s="133" t="s">
        <v>40</v>
      </c>
      <c r="E231" s="136" t="s">
        <v>379</v>
      </c>
      <c r="F231" s="480" t="s">
        <v>2170</v>
      </c>
      <c r="G231" s="135" t="str">
        <f>VLOOKUP(A231,Plano_V3!$A$26:$G$768,7,0)</f>
        <v xml:space="preserve">6. Em implementação </v>
      </c>
      <c r="H231" s="135" t="s">
        <v>2320</v>
      </c>
      <c r="I231" s="473"/>
      <c r="J231" s="142" t="s">
        <v>2305</v>
      </c>
      <c r="K231" s="359" t="s">
        <v>2438</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customHeight="1">
      <c r="A232" s="29" t="str">
        <f t="shared" si="4"/>
        <v>lt002_instrumentEIR_INCPTN</v>
      </c>
      <c r="B232" s="141" t="s">
        <v>26</v>
      </c>
      <c r="C232" s="137" t="s">
        <v>26</v>
      </c>
      <c r="D232" s="133" t="s">
        <v>40</v>
      </c>
      <c r="E232" s="136" t="s">
        <v>379</v>
      </c>
      <c r="F232" s="480" t="s">
        <v>2171</v>
      </c>
      <c r="G232" s="135" t="str">
        <f>VLOOKUP(A232,Plano_V3!$A$26:$G$768,7,0)</f>
        <v xml:space="preserve">6. Em implementação </v>
      </c>
      <c r="H232" s="135" t="s">
        <v>2320</v>
      </c>
      <c r="I232" s="473"/>
      <c r="J232" s="142" t="s">
        <v>2305</v>
      </c>
      <c r="K232" s="359" t="s">
        <v>2438</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customHeight="1">
      <c r="A233" s="29" t="str">
        <f t="shared" si="4"/>
        <v>lt002_instrumentINTRNL_SGMNT_CAT_MSTA</v>
      </c>
      <c r="B233" s="141" t="s">
        <v>26</v>
      </c>
      <c r="C233" s="137" t="s">
        <v>26</v>
      </c>
      <c r="D233" s="133" t="s">
        <v>40</v>
      </c>
      <c r="E233" s="136" t="s">
        <v>379</v>
      </c>
      <c r="F233" s="480" t="s">
        <v>2172</v>
      </c>
      <c r="G233" s="135" t="str">
        <f>VLOOKUP(A233,Plano_V3!$A$26:$G$768,7,0)</f>
        <v xml:space="preserve">6. Em implementação </v>
      </c>
      <c r="H233" s="135" t="s">
        <v>2320</v>
      </c>
      <c r="I233" s="473"/>
      <c r="J233" s="142" t="s">
        <v>2305</v>
      </c>
      <c r="K233" s="359" t="s">
        <v>2438</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customHeight="1">
      <c r="A234" s="29" t="str">
        <f t="shared" si="4"/>
        <v>lt002_instrumentINTRNL_SGMNT_CATGSUB</v>
      </c>
      <c r="B234" s="141" t="s">
        <v>26</v>
      </c>
      <c r="C234" s="137" t="s">
        <v>26</v>
      </c>
      <c r="D234" s="133" t="s">
        <v>40</v>
      </c>
      <c r="E234" s="136" t="s">
        <v>379</v>
      </c>
      <c r="F234" s="480" t="s">
        <v>2173</v>
      </c>
      <c r="G234" s="135" t="str">
        <f>VLOOKUP(A234,Plano_V3!$A$26:$G$768,7,0)</f>
        <v xml:space="preserve">6. Em implementação </v>
      </c>
      <c r="H234" s="135" t="s">
        <v>2320</v>
      </c>
      <c r="I234" s="473"/>
      <c r="J234" s="142" t="s">
        <v>2305</v>
      </c>
      <c r="K234" s="359" t="s">
        <v>2438</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customHeight="1">
      <c r="A235" s="29" t="str">
        <f t="shared" si="4"/>
        <v>lt003_entityentty_nm</v>
      </c>
      <c r="B235" s="141" t="s">
        <v>26</v>
      </c>
      <c r="C235" s="137" t="s">
        <v>26</v>
      </c>
      <c r="D235" s="133" t="s">
        <v>40</v>
      </c>
      <c r="E235" s="136" t="s">
        <v>335</v>
      </c>
      <c r="F235" s="480" t="s">
        <v>2192</v>
      </c>
      <c r="G235" s="135" t="str">
        <f>VLOOKUP(A235,Plano_V3!$A$26:$G$768,7,0)</f>
        <v xml:space="preserve">6. Em implementação </v>
      </c>
      <c r="H235" s="135" t="s">
        <v>2320</v>
      </c>
      <c r="I235" s="473"/>
      <c r="J235" s="359" t="s">
        <v>2240</v>
      </c>
      <c r="K235" s="359" t="s">
        <v>2438</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3"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3"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3"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3"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customHeight="1">
      <c r="A240" s="29" t="str">
        <f t="shared" si="4"/>
        <v>modesg_out_sfics_taxon_europeianivel</v>
      </c>
      <c r="B240" s="141" t="s">
        <v>26</v>
      </c>
      <c r="C240" s="137" t="s">
        <v>310</v>
      </c>
      <c r="D240" s="133" t="s">
        <v>40</v>
      </c>
      <c r="E240" s="134" t="s">
        <v>2080</v>
      </c>
      <c r="F240" s="476" t="s">
        <v>2409</v>
      </c>
      <c r="G240" s="135" t="str">
        <f>VLOOKUP(A240,Plano_V3!$A$26:$G$768,7,0)</f>
        <v xml:space="preserve">6. Em implementação </v>
      </c>
      <c r="H240" s="135" t="s">
        <v>2320</v>
      </c>
      <c r="I240" s="473"/>
      <c r="J240" s="142" t="s">
        <v>2242</v>
      </c>
      <c r="K240" s="493"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3" t="s">
        <v>2443</v>
      </c>
      <c r="L241" s="490"/>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3"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3"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3"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3"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3"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3"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customHeight="1">
      <c r="A248" s="29" t="str">
        <f t="shared" si="4"/>
        <v>modesg_out_sfics_taxon_europeiasstnbl_indctr</v>
      </c>
      <c r="B248" s="141" t="s">
        <v>26</v>
      </c>
      <c r="C248" s="137" t="s">
        <v>310</v>
      </c>
      <c r="D248" s="133" t="s">
        <v>40</v>
      </c>
      <c r="E248" s="134" t="s">
        <v>2080</v>
      </c>
      <c r="F248" s="476" t="s">
        <v>418</v>
      </c>
      <c r="G248" s="135" t="str">
        <f>VLOOKUP(A248,Plano_V3!$A$26:$G$768,7,0)</f>
        <v>1. Concluído</v>
      </c>
      <c r="H248" s="135" t="s">
        <v>612</v>
      </c>
      <c r="I248" s="473"/>
      <c r="J248" s="359" t="s">
        <v>2425</v>
      </c>
      <c r="K248" s="493"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3"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3"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customHeight="1">
      <c r="A415" s="29" t="str">
        <f t="shared" si="8"/>
        <v>modesg_param_sfics_taxon_europeiaordem</v>
      </c>
      <c r="B415" s="141" t="s">
        <v>26</v>
      </c>
      <c r="C415" s="137" t="s">
        <v>181</v>
      </c>
      <c r="D415" s="133" t="s">
        <v>40</v>
      </c>
      <c r="E415" s="134" t="s">
        <v>2097</v>
      </c>
      <c r="F415" s="476" t="s">
        <v>211</v>
      </c>
      <c r="G415" s="135" t="str">
        <f>VLOOKUP(A415,Plano_V3!$A$26:$G$768,7,0)</f>
        <v>0. Cancelado</v>
      </c>
      <c r="H415" s="135" t="s">
        <v>611</v>
      </c>
      <c r="I415" s="473"/>
      <c r="J415" s="153"/>
      <c r="K415" s="359"/>
      <c r="L415" s="491"/>
      <c r="M415" s="152"/>
      <c r="N415" s="152"/>
      <c r="O415" s="152"/>
      <c r="P415" s="202"/>
      <c r="Q415" s="202"/>
      <c r="R415" s="202"/>
      <c r="S415" s="324"/>
      <c r="T415" s="324"/>
      <c r="U415" s="372" t="s">
        <v>2321</v>
      </c>
      <c r="V415" s="323"/>
    </row>
    <row r="416" spans="1:22" ht="16.399999999999999"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customHeight="1">
      <c r="A417" s="29" t="str">
        <f t="shared" si="8"/>
        <v>modesg_param_sfics_taxon_europeiadominio</v>
      </c>
      <c r="B417" s="141" t="s">
        <v>26</v>
      </c>
      <c r="C417" s="137" t="s">
        <v>181</v>
      </c>
      <c r="D417" s="133" t="s">
        <v>40</v>
      </c>
      <c r="E417" s="134" t="s">
        <v>2097</v>
      </c>
      <c r="F417" s="476" t="s">
        <v>196</v>
      </c>
      <c r="G417" s="135" t="str">
        <f>VLOOKUP(A417,Plano_V3!$A$26:$G$768,7,0)</f>
        <v>0. Cancelado</v>
      </c>
      <c r="H417" s="135" t="s">
        <v>611</v>
      </c>
      <c r="I417" s="473"/>
      <c r="J417" s="153"/>
      <c r="K417" s="359"/>
      <c r="L417" s="153"/>
      <c r="M417" s="152"/>
      <c r="N417" s="152"/>
      <c r="O417" s="152"/>
      <c r="P417" s="202"/>
      <c r="Q417" s="202"/>
      <c r="R417" s="202"/>
      <c r="S417" s="324"/>
      <c r="T417" s="324"/>
      <c r="U417" s="372" t="s">
        <v>2321</v>
      </c>
      <c r="V417" s="323"/>
    </row>
    <row r="418" spans="1:22" ht="16.399999999999999"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90"/>
      <c r="K433" s="490"/>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90"/>
      <c r="K434" s="490"/>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90"/>
      <c r="K435" s="490"/>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90"/>
      <c r="K436" s="490"/>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90"/>
      <c r="K437" s="490"/>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90"/>
      <c r="K438" s="490"/>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90"/>
      <c r="K446" s="490"/>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90"/>
      <c r="K447" s="490"/>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90"/>
      <c r="K448" s="490"/>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90"/>
      <c r="K521" s="490"/>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90"/>
      <c r="K522" s="490"/>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90"/>
      <c r="K523" s="490"/>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90"/>
      <c r="K524" s="490"/>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90"/>
      <c r="K525" s="490"/>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90"/>
      <c r="K526" s="490"/>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90"/>
      <c r="K527" s="490"/>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90"/>
      <c r="K528" s="490"/>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90"/>
      <c r="K529" s="490"/>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90"/>
      <c r="K530" s="490"/>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90"/>
      <c r="K531" s="490"/>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90"/>
      <c r="K532" s="490"/>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90"/>
      <c r="K537" s="490"/>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90"/>
      <c r="K538" s="490"/>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90"/>
      <c r="K539" s="490"/>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90"/>
      <c r="K540" s="490"/>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90"/>
      <c r="K541" s="490"/>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90"/>
      <c r="K542" s="490"/>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90"/>
      <c r="K543" s="490"/>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90"/>
      <c r="K544" s="490"/>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90"/>
      <c r="K545" s="490"/>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90"/>
      <c r="K546" s="490"/>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90"/>
      <c r="K547" s="490"/>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90"/>
      <c r="K548" s="490"/>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90"/>
      <c r="K549" s="490"/>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90"/>
      <c r="K550" s="490"/>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90"/>
      <c r="K551" s="490"/>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customHeight="1">
      <c r="A614" s="29" t="str">
        <f t="shared" si="11"/>
        <v>modesg_out_sfics_taxon_europeiaordem</v>
      </c>
      <c r="B614" s="141" t="s">
        <v>26</v>
      </c>
      <c r="C614" s="137" t="s">
        <v>310</v>
      </c>
      <c r="D614" s="133" t="s">
        <v>40</v>
      </c>
      <c r="E614" s="134" t="s">
        <v>2080</v>
      </c>
      <c r="F614" s="476" t="s">
        <v>211</v>
      </c>
      <c r="G614" s="135" t="str">
        <f>VLOOKUP(A614,Plano_V3!$A$26:$G$768,7,0)</f>
        <v>0. Cancelado</v>
      </c>
      <c r="H614" s="135" t="s">
        <v>611</v>
      </c>
      <c r="I614" s="473"/>
      <c r="J614" s="490"/>
      <c r="K614" s="490"/>
      <c r="L614" s="490"/>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customHeight="1">
      <c r="A634" s="29" t="str">
        <f t="shared" si="11"/>
        <v>lt003_entitypst_cd</v>
      </c>
      <c r="B634" s="141" t="s">
        <v>26</v>
      </c>
      <c r="C634" s="137" t="s">
        <v>26</v>
      </c>
      <c r="D634" s="133" t="s">
        <v>40</v>
      </c>
      <c r="E634" s="136" t="s">
        <v>335</v>
      </c>
      <c r="F634" s="480" t="s">
        <v>359</v>
      </c>
      <c r="G634" s="489"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customHeight="1">
      <c r="A651" s="29" t="str">
        <f t="shared" si="11"/>
        <v>lt002_instrumentrsk_mtgtd_cct</v>
      </c>
      <c r="B651" s="141" t="s">
        <v>26</v>
      </c>
      <c r="C651" s="137" t="s">
        <v>26</v>
      </c>
      <c r="D651" s="133" t="s">
        <v>40</v>
      </c>
      <c r="E651" s="136" t="s">
        <v>379</v>
      </c>
      <c r="F651" s="480" t="s">
        <v>380</v>
      </c>
      <c r="G651" s="489"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customHeight="1">
      <c r="A652" s="29" t="str">
        <f t="shared" si="11"/>
        <v>lt007_instr_activityenvrnmntl_objctv</v>
      </c>
      <c r="B652" s="141" t="s">
        <v>26</v>
      </c>
      <c r="C652" s="137" t="s">
        <v>26</v>
      </c>
      <c r="D652" s="133" t="s">
        <v>40</v>
      </c>
      <c r="E652" s="136" t="s">
        <v>1860</v>
      </c>
      <c r="F652" s="480" t="s">
        <v>382</v>
      </c>
      <c r="G652" s="489"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customHeight="1">
      <c r="A653" s="29" t="str">
        <f t="shared" ref="A653:A715" si="12">E653&amp;F653</f>
        <v>lt007_instr_activitytyp_actvty</v>
      </c>
      <c r="B653" s="141" t="s">
        <v>26</v>
      </c>
      <c r="C653" s="137" t="s">
        <v>26</v>
      </c>
      <c r="D653" s="133" t="s">
        <v>40</v>
      </c>
      <c r="E653" s="136" t="s">
        <v>1860</v>
      </c>
      <c r="F653" s="480" t="s">
        <v>383</v>
      </c>
      <c r="G653" s="489"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customHeight="1">
      <c r="A654" s="29" t="str">
        <f t="shared" si="12"/>
        <v>lt002_instrumentlns_clltrlzd_clssfctn</v>
      </c>
      <c r="B654" s="141" t="s">
        <v>26</v>
      </c>
      <c r="C654" s="137" t="s">
        <v>26</v>
      </c>
      <c r="D654" s="133" t="s">
        <v>40</v>
      </c>
      <c r="E654" s="136" t="s">
        <v>379</v>
      </c>
      <c r="F654" s="480" t="s">
        <v>384</v>
      </c>
      <c r="G654" s="489"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customHeight="1">
      <c r="A655" s="29" t="str">
        <f t="shared" si="12"/>
        <v>lt827_mthd_usd_instrmntambito</v>
      </c>
      <c r="B655" s="141" t="s">
        <v>26</v>
      </c>
      <c r="C655" s="137" t="s">
        <v>26</v>
      </c>
      <c r="D655" s="133" t="s">
        <v>40</v>
      </c>
      <c r="E655" s="136" t="s">
        <v>1861</v>
      </c>
      <c r="F655" s="480" t="s">
        <v>390</v>
      </c>
      <c r="G655" s="489"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customHeight="1">
      <c r="A656" s="29" t="str">
        <f t="shared" si="12"/>
        <v>lt827_mthd_usd_instrmntref_date</v>
      </c>
      <c r="B656" s="141" t="s">
        <v>26</v>
      </c>
      <c r="C656" s="137" t="s">
        <v>26</v>
      </c>
      <c r="D656" s="133" t="s">
        <v>40</v>
      </c>
      <c r="E656" s="136" t="s">
        <v>1861</v>
      </c>
      <c r="F656" s="480" t="s">
        <v>208</v>
      </c>
      <c r="G656" s="489"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F6" sqref="F6"/>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7</v>
      </c>
    </row>
    <row r="60" spans="1:2">
      <c r="A60" t="s">
        <v>666</v>
      </c>
      <c r="B60" s="482">
        <v>1</v>
      </c>
    </row>
    <row r="61" spans="1:2">
      <c r="A61" t="s">
        <v>2178</v>
      </c>
      <c r="B61" s="482">
        <v>7</v>
      </c>
    </row>
    <row r="62" spans="1:2">
      <c r="A62" t="s">
        <v>2179</v>
      </c>
      <c r="B62" s="482">
        <v>7</v>
      </c>
    </row>
    <row r="63" spans="1:2">
      <c r="A63" t="s">
        <v>2180</v>
      </c>
      <c r="B63" s="482">
        <v>7</v>
      </c>
    </row>
    <row r="64" spans="1:2">
      <c r="A64" t="s">
        <v>2181</v>
      </c>
      <c r="B64" s="482">
        <v>7</v>
      </c>
    </row>
    <row r="65" spans="1:2">
      <c r="A65" t="s">
        <v>2182</v>
      </c>
      <c r="B65" s="482">
        <v>7</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7</v>
      </c>
    </row>
    <row r="74" spans="1:2">
      <c r="A74" t="s">
        <v>2184</v>
      </c>
      <c r="B74" s="482">
        <v>7</v>
      </c>
    </row>
    <row r="75" spans="1:2">
      <c r="A75" t="s">
        <v>2185</v>
      </c>
      <c r="B75" s="482">
        <v>7</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7</v>
      </c>
    </row>
    <row r="81" spans="1:2">
      <c r="A81" t="s">
        <v>2187</v>
      </c>
      <c r="B81" s="482">
        <v>7</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7</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7</v>
      </c>
    </row>
    <row r="109" spans="1:2">
      <c r="A109" t="s">
        <v>2219</v>
      </c>
      <c r="B109" s="482">
        <v>7</v>
      </c>
    </row>
    <row r="110" spans="1:2">
      <c r="A110" t="s">
        <v>698</v>
      </c>
      <c r="B110" s="482">
        <v>1</v>
      </c>
    </row>
    <row r="111" spans="1:2">
      <c r="A111" t="s">
        <v>699</v>
      </c>
      <c r="B111" s="482">
        <v>1</v>
      </c>
    </row>
    <row r="112" spans="1:2">
      <c r="A112" t="s">
        <v>2220</v>
      </c>
      <c r="B112" s="482">
        <v>7</v>
      </c>
    </row>
    <row r="113" spans="1:2">
      <c r="A113" t="s">
        <v>2221</v>
      </c>
      <c r="B113" s="482">
        <v>7</v>
      </c>
    </row>
    <row r="114" spans="1:2">
      <c r="A114" t="s">
        <v>700</v>
      </c>
      <c r="B114" s="482">
        <v>1</v>
      </c>
    </row>
    <row r="115" spans="1:2">
      <c r="A115" t="s">
        <v>2222</v>
      </c>
      <c r="B115" s="482">
        <v>7</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7</v>
      </c>
    </row>
    <row r="136" spans="1:2">
      <c r="A136" t="s">
        <v>719</v>
      </c>
      <c r="B136" s="482">
        <v>1</v>
      </c>
    </row>
    <row r="137" spans="1:2">
      <c r="A137" t="s">
        <v>720</v>
      </c>
      <c r="B137" s="482">
        <v>1</v>
      </c>
    </row>
    <row r="138" spans="1:2">
      <c r="A138" t="s">
        <v>2225</v>
      </c>
      <c r="B138" s="482">
        <v>7</v>
      </c>
    </row>
    <row r="139" spans="1:2">
      <c r="A139" t="s">
        <v>2226</v>
      </c>
      <c r="B139" s="482">
        <v>7</v>
      </c>
    </row>
    <row r="140" spans="1:2">
      <c r="A140" t="s">
        <v>2227</v>
      </c>
      <c r="B140" s="482">
        <v>7</v>
      </c>
    </row>
    <row r="141" spans="1:2">
      <c r="A141" t="s">
        <v>2228</v>
      </c>
      <c r="B141" s="482">
        <v>7</v>
      </c>
    </row>
    <row r="142" spans="1:2">
      <c r="A142" t="s">
        <v>721</v>
      </c>
      <c r="B142" s="482">
        <v>1</v>
      </c>
    </row>
    <row r="143" spans="1:2">
      <c r="A143" t="s">
        <v>722</v>
      </c>
      <c r="B143" s="482">
        <v>1</v>
      </c>
    </row>
    <row r="144" spans="1:2">
      <c r="A144" t="s">
        <v>2229</v>
      </c>
      <c r="B144" s="482">
        <v>7</v>
      </c>
    </row>
    <row r="145" spans="1:2">
      <c r="A145" t="s">
        <v>2230</v>
      </c>
      <c r="B145" s="482">
        <v>7</v>
      </c>
    </row>
    <row r="146" spans="1:2">
      <c r="A146" t="s">
        <v>2231</v>
      </c>
      <c r="B146" s="482">
        <v>7</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7</v>
      </c>
    </row>
    <row r="152" spans="1:2">
      <c r="A152" t="s">
        <v>727</v>
      </c>
      <c r="B152" s="482">
        <v>1</v>
      </c>
    </row>
    <row r="153" spans="1:2">
      <c r="A153" t="s">
        <v>728</v>
      </c>
      <c r="B153" s="482">
        <v>1</v>
      </c>
    </row>
    <row r="154" spans="1:2">
      <c r="A154" t="s">
        <v>2233</v>
      </c>
      <c r="B154" s="482">
        <v>7</v>
      </c>
    </row>
    <row r="155" spans="1:2">
      <c r="A155" t="s">
        <v>2234</v>
      </c>
      <c r="B155" s="482">
        <v>7</v>
      </c>
    </row>
    <row r="156" spans="1:2">
      <c r="A156" t="s">
        <v>2235</v>
      </c>
      <c r="B156" s="482">
        <v>7</v>
      </c>
    </row>
    <row r="157" spans="1:2">
      <c r="A157" t="s">
        <v>2236</v>
      </c>
      <c r="B157" s="482">
        <v>7</v>
      </c>
    </row>
    <row r="158" spans="1:2">
      <c r="A158" t="s">
        <v>729</v>
      </c>
      <c r="B158" s="482">
        <v>1</v>
      </c>
    </row>
    <row r="159" spans="1:2">
      <c r="A159" t="s">
        <v>730</v>
      </c>
      <c r="B159" s="482">
        <v>1</v>
      </c>
    </row>
    <row r="160" spans="1:2">
      <c r="A160" t="s">
        <v>2237</v>
      </c>
      <c r="B160" s="482">
        <v>7</v>
      </c>
    </row>
    <row r="161" spans="1:2">
      <c r="A161" t="s">
        <v>2238</v>
      </c>
      <c r="B161" s="482">
        <v>7</v>
      </c>
    </row>
    <row r="162" spans="1:2">
      <c r="A162" t="s">
        <v>2239</v>
      </c>
      <c r="B162" s="482">
        <v>7</v>
      </c>
    </row>
    <row r="163" spans="1:2">
      <c r="A163" t="s">
        <v>2267</v>
      </c>
      <c r="B163" s="482">
        <v>7</v>
      </c>
    </row>
    <row r="164" spans="1:2">
      <c r="A164" t="s">
        <v>2268</v>
      </c>
      <c r="B164" s="482">
        <v>7</v>
      </c>
    </row>
    <row r="165" spans="1:2">
      <c r="A165" t="s">
        <v>731</v>
      </c>
      <c r="B165" s="482">
        <v>1</v>
      </c>
    </row>
    <row r="166" spans="1:2">
      <c r="A166" t="s">
        <v>2269</v>
      </c>
      <c r="B166" s="482">
        <v>7</v>
      </c>
    </row>
    <row r="167" spans="1:2">
      <c r="A167" t="s">
        <v>732</v>
      </c>
      <c r="B167" s="482">
        <v>1</v>
      </c>
    </row>
    <row r="168" spans="1:2">
      <c r="A168" t="s">
        <v>2270</v>
      </c>
      <c r="B168" s="482">
        <v>7</v>
      </c>
    </row>
    <row r="169" spans="1:2">
      <c r="A169" t="s">
        <v>733</v>
      </c>
      <c r="B169" s="482">
        <v>1</v>
      </c>
    </row>
    <row r="170" spans="1:2">
      <c r="A170" t="s">
        <v>734</v>
      </c>
      <c r="B170" s="482">
        <v>1</v>
      </c>
    </row>
    <row r="171" spans="1:2">
      <c r="A171" t="s">
        <v>735</v>
      </c>
      <c r="B171" s="482">
        <v>1</v>
      </c>
    </row>
    <row r="172" spans="1:2">
      <c r="A172" t="s">
        <v>736</v>
      </c>
      <c r="B172" s="482">
        <v>5</v>
      </c>
    </row>
    <row r="173" spans="1:2">
      <c r="A173" t="s">
        <v>2271</v>
      </c>
      <c r="B173" s="482">
        <v>1</v>
      </c>
    </row>
    <row r="174" spans="1:2">
      <c r="A174" t="s">
        <v>2272</v>
      </c>
      <c r="B174" s="482">
        <v>5</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7</v>
      </c>
    </row>
    <row r="182" spans="1:2">
      <c r="A182" t="s">
        <v>743</v>
      </c>
      <c r="B182" s="482">
        <v>0</v>
      </c>
    </row>
    <row r="183" spans="1:2">
      <c r="A183" t="s">
        <v>2274</v>
      </c>
      <c r="B183" s="482">
        <v>7</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7</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7</v>
      </c>
    </row>
    <row r="198" spans="1:2">
      <c r="A198" t="s">
        <v>2282</v>
      </c>
      <c r="B198" s="482">
        <v>7</v>
      </c>
    </row>
    <row r="199" spans="1:2">
      <c r="A199" t="s">
        <v>751</v>
      </c>
      <c r="B199" s="482">
        <v>1</v>
      </c>
    </row>
    <row r="200" spans="1:2">
      <c r="A200" t="s">
        <v>2283</v>
      </c>
      <c r="B200" s="482">
        <v>7</v>
      </c>
    </row>
    <row r="201" spans="1:2">
      <c r="A201" t="s">
        <v>2284</v>
      </c>
      <c r="B201" s="482">
        <v>5</v>
      </c>
    </row>
    <row r="202" spans="1:2">
      <c r="A202" t="s">
        <v>752</v>
      </c>
      <c r="B202" s="482">
        <v>5</v>
      </c>
    </row>
    <row r="203" spans="1:2">
      <c r="A203" t="s">
        <v>753</v>
      </c>
      <c r="B203" s="482">
        <v>1</v>
      </c>
    </row>
    <row r="204" spans="1:2">
      <c r="A204" t="s">
        <v>2285</v>
      </c>
      <c r="B204" s="482">
        <v>7</v>
      </c>
    </row>
    <row r="205" spans="1:2">
      <c r="A205" t="s">
        <v>754</v>
      </c>
      <c r="B205" s="482">
        <v>1</v>
      </c>
    </row>
    <row r="206" spans="1:2">
      <c r="A206" t="s">
        <v>2286</v>
      </c>
      <c r="B206" s="482">
        <v>7</v>
      </c>
    </row>
    <row r="207" spans="1:2">
      <c r="A207" t="s">
        <v>2287</v>
      </c>
      <c r="B207" s="482">
        <v>7</v>
      </c>
    </row>
    <row r="208" spans="1:2">
      <c r="A208" t="s">
        <v>2288</v>
      </c>
      <c r="B208" s="482">
        <v>7</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7</v>
      </c>
    </row>
    <row r="219" spans="1:2">
      <c r="A219" t="s">
        <v>764</v>
      </c>
      <c r="B219" s="482">
        <v>1</v>
      </c>
    </row>
    <row r="220" spans="1:2">
      <c r="A220" t="s">
        <v>2291</v>
      </c>
      <c r="B220" s="482">
        <v>7</v>
      </c>
    </row>
    <row r="221" spans="1:2">
      <c r="A221" t="s">
        <v>2296</v>
      </c>
      <c r="B221" s="482">
        <v>7</v>
      </c>
    </row>
    <row r="222" spans="1:2">
      <c r="A222" t="s">
        <v>2297</v>
      </c>
      <c r="B222" s="482">
        <v>7</v>
      </c>
    </row>
    <row r="223" spans="1:2">
      <c r="A223" t="s">
        <v>2298</v>
      </c>
      <c r="B223" s="482">
        <v>7</v>
      </c>
    </row>
    <row r="224" spans="1:2">
      <c r="A224" t="s">
        <v>1885</v>
      </c>
      <c r="B224" s="482">
        <v>1</v>
      </c>
    </row>
    <row r="225" spans="1:2">
      <c r="A225" t="s">
        <v>2299</v>
      </c>
      <c r="B225" s="482">
        <v>7</v>
      </c>
    </row>
    <row r="226" spans="1:2">
      <c r="A226" t="s">
        <v>2300</v>
      </c>
      <c r="B226" s="482">
        <v>7</v>
      </c>
    </row>
    <row r="227" spans="1:2">
      <c r="A227" t="s">
        <v>2301</v>
      </c>
      <c r="B227" s="482">
        <v>7</v>
      </c>
    </row>
    <row r="228" spans="1:2">
      <c r="A228" t="s">
        <v>2302</v>
      </c>
      <c r="B228" s="482">
        <v>7</v>
      </c>
    </row>
    <row r="229" spans="1:2">
      <c r="A229" t="s">
        <v>1886</v>
      </c>
      <c r="B229" s="482">
        <v>7</v>
      </c>
    </row>
    <row r="230" spans="1:2">
      <c r="A230" t="s">
        <v>1887</v>
      </c>
      <c r="B230" s="482">
        <v>1</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2</v>
      </c>
    </row>
    <row r="463" spans="1:2">
      <c r="A463" t="s">
        <v>955</v>
      </c>
      <c r="B463" s="482">
        <v>2</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2</v>
      </c>
    </row>
    <row r="469" spans="1:2">
      <c r="A469" t="s">
        <v>961</v>
      </c>
      <c r="B469" s="482">
        <v>2</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7</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0</v>
      </c>
    </row>
    <row r="518" spans="1:2">
      <c r="A518" t="s">
        <v>2094</v>
      </c>
      <c r="B518" s="482">
        <v>0</v>
      </c>
    </row>
    <row r="519" spans="1:2">
      <c r="A519" t="s">
        <v>2095</v>
      </c>
      <c r="B519" s="482">
        <v>7</v>
      </c>
    </row>
    <row r="520" spans="1:2">
      <c r="A520" t="s">
        <v>2421</v>
      </c>
      <c r="B520" s="482">
        <v>1</v>
      </c>
    </row>
    <row r="521" spans="1:2">
      <c r="A521" t="s">
        <v>2096</v>
      </c>
      <c r="B521" s="482">
        <v>7</v>
      </c>
    </row>
    <row r="522" spans="1:2">
      <c r="A522" t="s">
        <v>2405</v>
      </c>
      <c r="B522" s="482">
        <v>7</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0</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7</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0</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2</v>
      </c>
    </row>
    <row r="614" spans="1:2">
      <c r="A614" t="s">
        <v>1027</v>
      </c>
      <c r="B614" s="482">
        <v>1</v>
      </c>
    </row>
    <row r="615" spans="1:2">
      <c r="A615" t="s">
        <v>1028</v>
      </c>
      <c r="B615" s="482">
        <v>1</v>
      </c>
    </row>
    <row r="616" spans="1:2">
      <c r="A616" t="s">
        <v>1029</v>
      </c>
      <c r="B616" s="482">
        <v>1</v>
      </c>
    </row>
    <row r="617" spans="1:2">
      <c r="A617" t="s">
        <v>1959</v>
      </c>
      <c r="B617" s="482">
        <v>1</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5</v>
      </c>
    </row>
    <row r="628" spans="1:2">
      <c r="A628" t="s">
        <v>1040</v>
      </c>
      <c r="B628" s="482">
        <v>1</v>
      </c>
    </row>
    <row r="629" spans="1:2">
      <c r="A629" t="s">
        <v>1041</v>
      </c>
      <c r="B629" s="482">
        <v>5</v>
      </c>
    </row>
    <row r="630" spans="1:2">
      <c r="A630" t="s">
        <v>1042</v>
      </c>
      <c r="B630" s="482">
        <v>2</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A8" zoomScale="70" zoomScaleNormal="70" workbookViewId="0">
      <selection activeCell="H684" sqref="H684"/>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1840</v>
      </c>
      <c r="J224" s="42">
        <f>VLOOKUP(Table1[[#This Row],[Status]],Auxiliar!$B$16:$C$24,2,0)</f>
        <v>2</v>
      </c>
      <c r="K224" s="2" t="s">
        <v>1168</v>
      </c>
      <c r="L224" s="28" t="s">
        <v>1166</v>
      </c>
      <c r="M224" s="20" t="s">
        <v>1175</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1</v>
      </c>
      <c r="X224" s="166">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1840</v>
      </c>
      <c r="J225" s="42">
        <f>VLOOKUP(Table1[[#This Row],[Status]],Auxiliar!$B$16:$C$24,2,0)</f>
        <v>2</v>
      </c>
      <c r="K225" s="2" t="s">
        <v>1169</v>
      </c>
      <c r="L225" s="28" t="s">
        <v>1166</v>
      </c>
      <c r="M225" s="20" t="s">
        <v>1175</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1</v>
      </c>
      <c r="X225" s="166">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1840</v>
      </c>
      <c r="J226" s="42">
        <f>VLOOKUP(Table1[[#This Row],[Status]],Auxiliar!$B$16:$C$24,2,0)</f>
        <v>2</v>
      </c>
      <c r="K226" s="2" t="s">
        <v>1171</v>
      </c>
      <c r="L226" s="28" t="s">
        <v>1166</v>
      </c>
      <c r="M226" s="20" t="s">
        <v>1175</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0.05</v>
      </c>
      <c r="X226" s="166">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614</v>
      </c>
      <c r="J245" s="42">
        <f>VLOOKUP(Table1[[#This Row],[Status]],Auxiliar!$B$16:$C$24,2,0)</f>
        <v>5</v>
      </c>
      <c r="K245" s="2" t="s">
        <v>1168</v>
      </c>
      <c r="L245" s="28" t="s">
        <v>1166</v>
      </c>
      <c r="M245" s="20" t="s">
        <v>1175</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614</v>
      </c>
      <c r="J246" s="42">
        <f>VLOOKUP(Table1[[#This Row],[Status]],Auxiliar!$B$16:$C$24,2,0)</f>
        <v>5</v>
      </c>
      <c r="K246" s="2" t="s">
        <v>1169</v>
      </c>
      <c r="L246" s="28" t="s">
        <v>1166</v>
      </c>
      <c r="M246" s="20" t="s">
        <v>1175</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614</v>
      </c>
      <c r="J247" s="42">
        <f>VLOOKUP(Table1[[#This Row],[Status]],Auxiliar!$B$16:$C$24,2,0)</f>
        <v>5</v>
      </c>
      <c r="K247" s="2" t="s">
        <v>1171</v>
      </c>
      <c r="L247" s="28" t="s">
        <v>1166</v>
      </c>
      <c r="M247" s="20" t="s">
        <v>1175</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614</v>
      </c>
      <c r="J291" s="42">
        <f>VLOOKUP(Table1[[#This Row],[Status]],Auxiliar!$B$16:$C$24,2,0)</f>
        <v>5</v>
      </c>
      <c r="K291" s="2" t="s">
        <v>1168</v>
      </c>
      <c r="L291" s="28" t="s">
        <v>1166</v>
      </c>
      <c r="M291" s="20" t="s">
        <v>1175</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614</v>
      </c>
      <c r="J292" s="42">
        <f>VLOOKUP(Table1[[#This Row],[Status]],Auxiliar!$B$16:$C$24,2,0)</f>
        <v>5</v>
      </c>
      <c r="K292" s="2" t="s">
        <v>1169</v>
      </c>
      <c r="L292" s="28" t="s">
        <v>1166</v>
      </c>
      <c r="M292" s="20" t="s">
        <v>1175</v>
      </c>
      <c r="N292" s="47">
        <v>45688</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614</v>
      </c>
      <c r="J293" s="42">
        <f>VLOOKUP(Table1[[#This Row],[Status]],Auxiliar!$B$16:$C$24,2,0)</f>
        <v>5</v>
      </c>
      <c r="K293" s="2" t="s">
        <v>1171</v>
      </c>
      <c r="L293" s="28" t="s">
        <v>1166</v>
      </c>
      <c r="M293" s="20" t="s">
        <v>1175</v>
      </c>
      <c r="N293" s="47">
        <v>45688</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1840</v>
      </c>
      <c r="J318" s="42">
        <f>VLOOKUP(Table1[[#This Row],[Status]],Auxiliar!$B$16:$C$24,2,0)</f>
        <v>2</v>
      </c>
      <c r="K318" s="2" t="s">
        <v>1168</v>
      </c>
      <c r="L318" s="28" t="s">
        <v>1166</v>
      </c>
      <c r="M318" s="20" t="s">
        <v>1175</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1840</v>
      </c>
      <c r="J319" s="42">
        <f>VLOOKUP(Table1[[#This Row],[Status]],Auxiliar!$B$16:$C$24,2,0)</f>
        <v>2</v>
      </c>
      <c r="K319" s="2" t="s">
        <v>1169</v>
      </c>
      <c r="L319" s="28" t="s">
        <v>1166</v>
      </c>
      <c r="M319" s="20" t="s">
        <v>1175</v>
      </c>
      <c r="N319" s="47">
        <v>45688</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1840</v>
      </c>
      <c r="J320" s="42">
        <f>VLOOKUP(Table1[[#This Row],[Status]],Auxiliar!$B$16:$C$24,2,0)</f>
        <v>2</v>
      </c>
      <c r="K320" s="2" t="s">
        <v>1171</v>
      </c>
      <c r="L320" s="28" t="s">
        <v>1166</v>
      </c>
      <c r="M320" s="20" t="s">
        <v>1175</v>
      </c>
      <c r="N320" s="47">
        <v>45688</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6">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6">
        <f>+VLOOKUP(CONCATENATE(Table1[[#This Row],[Tabela]],Table1[[#This Row],[Campo]]),'2. Status Detalhe Campos FY24'!A:J,9,FALSE)</f>
        <v>0</v>
      </c>
    </row>
    <row r="416" spans="2:24" ht="17.899999999999999"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6">
        <f>+VLOOKUP(CONCATENATE(Table1[[#This Row],[Tabela]],Table1[[#This Row],[Campo]]),'2. Status Detalhe Campos FY24'!A:J,9,FALSE)</f>
        <v>0</v>
      </c>
    </row>
    <row r="419" spans="2:24" ht="17.899999999999999"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282</v>
      </c>
      <c r="H692" s="56" t="str">
        <f>Table1[[#This Row],[Tabela]]&amp;Table1[[#This Row],[Campo]]</f>
        <v>modesg_out_empr_info_nfinflg_rsc_fsc_agd</v>
      </c>
      <c r="I692" s="2" t="s">
        <v>1840</v>
      </c>
      <c r="J692" s="42">
        <f>VLOOKUP(Table1[[#This Row],[Status]],Auxiliar!$B$16:$C$24,2,0)</f>
        <v>2</v>
      </c>
      <c r="K692" s="2" t="s">
        <v>1168</v>
      </c>
      <c r="L692" s="28" t="s">
        <v>1166</v>
      </c>
      <c r="M692" s="20" t="s">
        <v>1167</v>
      </c>
      <c r="N692" s="47">
        <v>45350</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4</v>
      </c>
      <c r="X692" s="166">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282</v>
      </c>
      <c r="H693" s="56" t="str">
        <f>Table1[[#This Row],[Tabela]]&amp;Table1[[#This Row],[Campo]]</f>
        <v>modesg_out_empr_info_nfinflg_rsc_fsc_agd</v>
      </c>
      <c r="I693" s="2" t="s">
        <v>1840</v>
      </c>
      <c r="J693" s="42">
        <f>VLOOKUP(Table1[[#This Row],[Status]],Auxiliar!$B$16:$C$24,2,0)</f>
        <v>2</v>
      </c>
      <c r="K693" s="2" t="s">
        <v>1169</v>
      </c>
      <c r="L693" s="28" t="s">
        <v>1166</v>
      </c>
      <c r="M693" s="20" t="s">
        <v>1167</v>
      </c>
      <c r="N693" s="47">
        <v>45350</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4</v>
      </c>
      <c r="X693" s="166">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282</v>
      </c>
      <c r="H694" s="56" t="str">
        <f>Table1[[#This Row],[Tabela]]&amp;Table1[[#This Row],[Campo]]</f>
        <v>modesg_out_empr_info_nfinflg_rsc_fsc_agd</v>
      </c>
      <c r="I694" s="2" t="s">
        <v>1840</v>
      </c>
      <c r="J694" s="42">
        <f>VLOOKUP(Table1[[#This Row],[Status]],Auxiliar!$B$16:$C$24,2,0)</f>
        <v>2</v>
      </c>
      <c r="K694" s="2" t="s">
        <v>1171</v>
      </c>
      <c r="L694" s="28" t="s">
        <v>1166</v>
      </c>
      <c r="M694" s="20" t="s">
        <v>1167</v>
      </c>
      <c r="N694" s="47">
        <v>45350</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0.05</v>
      </c>
      <c r="X694" s="166">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283</v>
      </c>
      <c r="H695" s="56" t="str">
        <f>Table1[[#This Row],[Tabela]]&amp;Table1[[#This Row],[Campo]]</f>
        <v>modesg_out_empr_info_nfinflg_rsc_fsc_crnc</v>
      </c>
      <c r="I695" s="2" t="s">
        <v>1840</v>
      </c>
      <c r="J695" s="42">
        <f>VLOOKUP(Table1[[#This Row],[Status]],Auxiliar!$B$16:$C$24,2,0)</f>
        <v>2</v>
      </c>
      <c r="K695" s="2" t="s">
        <v>1168</v>
      </c>
      <c r="L695" s="28" t="s">
        <v>1166</v>
      </c>
      <c r="M695" s="20" t="s">
        <v>1167</v>
      </c>
      <c r="N695" s="47">
        <v>45350</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4</v>
      </c>
      <c r="X695" s="166">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283</v>
      </c>
      <c r="H696" s="56" t="str">
        <f>Table1[[#This Row],[Tabela]]&amp;Table1[[#This Row],[Campo]]</f>
        <v>modesg_out_empr_info_nfinflg_rsc_fsc_crnc</v>
      </c>
      <c r="I696" s="2" t="s">
        <v>1840</v>
      </c>
      <c r="J696" s="42">
        <f>VLOOKUP(Table1[[#This Row],[Status]],Auxiliar!$B$16:$C$24,2,0)</f>
        <v>2</v>
      </c>
      <c r="K696" s="2" t="s">
        <v>1169</v>
      </c>
      <c r="L696" s="28" t="s">
        <v>1166</v>
      </c>
      <c r="M696" s="20" t="s">
        <v>1167</v>
      </c>
      <c r="N696" s="47">
        <v>45350</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4</v>
      </c>
      <c r="X696" s="166">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283</v>
      </c>
      <c r="H697" s="56" t="str">
        <f>Table1[[#This Row],[Tabela]]&amp;Table1[[#This Row],[Campo]]</f>
        <v>modesg_out_empr_info_nfinflg_rsc_fsc_crnc</v>
      </c>
      <c r="I697" s="2" t="s">
        <v>1840</v>
      </c>
      <c r="J697" s="42">
        <f>VLOOKUP(Table1[[#This Row],[Status]],Auxiliar!$B$16:$C$24,2,0)</f>
        <v>2</v>
      </c>
      <c r="K697" s="2" t="s">
        <v>1171</v>
      </c>
      <c r="L697" s="28" t="s">
        <v>1166</v>
      </c>
      <c r="M697" s="20" t="s">
        <v>1167</v>
      </c>
      <c r="N697" s="47">
        <v>45350</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0.05</v>
      </c>
      <c r="X697" s="166">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317</v>
      </c>
      <c r="H707" s="56" t="str">
        <f>Table1[[#This Row],[Tabela]]&amp;Table1[[#This Row],[Campo]]</f>
        <v>modesg_out_empr_info_nfinorigem_flg_rsc_fsc_agd</v>
      </c>
      <c r="I707" s="2" t="s">
        <v>1840</v>
      </c>
      <c r="J707" s="42">
        <f>VLOOKUP(Table1[[#This Row],[Status]],Auxiliar!$B$16:$C$24,2,0)</f>
        <v>2</v>
      </c>
      <c r="K707" s="2" t="s">
        <v>1168</v>
      </c>
      <c r="L707" s="28" t="s">
        <v>1174</v>
      </c>
      <c r="M707" s="20" t="s">
        <v>1175</v>
      </c>
      <c r="N707" s="47">
        <v>45350</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1</v>
      </c>
      <c r="X707" s="166">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317</v>
      </c>
      <c r="H708" s="56" t="str">
        <f>Table1[[#This Row],[Tabela]]&amp;Table1[[#This Row],[Campo]]</f>
        <v>modesg_out_empr_info_nfinorigem_flg_rsc_fsc_agd</v>
      </c>
      <c r="I708" s="2" t="s">
        <v>1840</v>
      </c>
      <c r="J708" s="42">
        <f>VLOOKUP(Table1[[#This Row],[Status]],Auxiliar!$B$16:$C$24,2,0)</f>
        <v>2</v>
      </c>
      <c r="K708" s="2" t="s">
        <v>1169</v>
      </c>
      <c r="L708" s="28" t="s">
        <v>1174</v>
      </c>
      <c r="M708" s="20" t="s">
        <v>1175</v>
      </c>
      <c r="N708" s="47">
        <v>45350</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1</v>
      </c>
      <c r="X708" s="166">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317</v>
      </c>
      <c r="H709" s="56" t="str">
        <f>Table1[[#This Row],[Tabela]]&amp;Table1[[#This Row],[Campo]]</f>
        <v>modesg_out_empr_info_nfinorigem_flg_rsc_fsc_agd</v>
      </c>
      <c r="I709" s="2" t="s">
        <v>1840</v>
      </c>
      <c r="J709" s="42">
        <f>VLOOKUP(Table1[[#This Row],[Status]],Auxiliar!$B$16:$C$24,2,0)</f>
        <v>2</v>
      </c>
      <c r="K709" s="2" t="s">
        <v>1171</v>
      </c>
      <c r="L709" s="28" t="s">
        <v>1174</v>
      </c>
      <c r="M709" s="20" t="s">
        <v>1175</v>
      </c>
      <c r="N709" s="47">
        <v>45350</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0.05</v>
      </c>
      <c r="X709" s="166">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318</v>
      </c>
      <c r="H710" s="56" t="str">
        <f>Table1[[#This Row],[Tabela]]&amp;Table1[[#This Row],[Campo]]</f>
        <v>modesg_out_empr_info_nfinorigem_flg_rsc_fsc_crnc</v>
      </c>
      <c r="I710" s="2" t="s">
        <v>1840</v>
      </c>
      <c r="J710" s="42">
        <f>VLOOKUP(Table1[[#This Row],[Status]],Auxiliar!$B$16:$C$24,2,0)</f>
        <v>2</v>
      </c>
      <c r="K710" s="2" t="s">
        <v>1168</v>
      </c>
      <c r="L710" s="28" t="s">
        <v>1174</v>
      </c>
      <c r="M710" s="20" t="s">
        <v>1175</v>
      </c>
      <c r="N710" s="47">
        <v>45350</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1</v>
      </c>
      <c r="X710" s="166">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318</v>
      </c>
      <c r="H711" s="56" t="str">
        <f>Table1[[#This Row],[Tabela]]&amp;Table1[[#This Row],[Campo]]</f>
        <v>modesg_out_empr_info_nfinorigem_flg_rsc_fsc_crnc</v>
      </c>
      <c r="I711" s="2" t="s">
        <v>1840</v>
      </c>
      <c r="J711" s="42">
        <f>VLOOKUP(Table1[[#This Row],[Status]],Auxiliar!$B$16:$C$24,2,0)</f>
        <v>2</v>
      </c>
      <c r="K711" s="2" t="s">
        <v>1169</v>
      </c>
      <c r="L711" s="28" t="s">
        <v>1174</v>
      </c>
      <c r="M711" s="20" t="s">
        <v>1175</v>
      </c>
      <c r="N711" s="47">
        <v>45350</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1</v>
      </c>
      <c r="X711" s="166">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318</v>
      </c>
      <c r="H712" s="56" t="str">
        <f>Table1[[#This Row],[Tabela]]&amp;Table1[[#This Row],[Campo]]</f>
        <v>modesg_out_empr_info_nfinorigem_flg_rsc_fsc_crnc</v>
      </c>
      <c r="I712" s="2" t="s">
        <v>1840</v>
      </c>
      <c r="J712" s="42">
        <f>VLOOKUP(Table1[[#This Row],[Status]],Auxiliar!$B$16:$C$24,2,0)</f>
        <v>2</v>
      </c>
      <c r="K712" s="2" t="s">
        <v>1171</v>
      </c>
      <c r="L712" s="28" t="s">
        <v>1174</v>
      </c>
      <c r="M712" s="20" t="s">
        <v>1175</v>
      </c>
      <c r="N712" s="47">
        <v>45350</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0.05</v>
      </c>
      <c r="X712" s="166">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customHeight="1">
      <c r="B798" s="2" t="s">
        <v>26</v>
      </c>
      <c r="C798" s="2" t="s">
        <v>310</v>
      </c>
      <c r="D798" s="2" t="s">
        <v>334</v>
      </c>
      <c r="E798" s="2" t="s">
        <v>38</v>
      </c>
      <c r="F798" s="2" t="s">
        <v>2080</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6">
        <f>+VLOOKUP(CONCATENATE(Table1[[#This Row],[Tabela]],Table1[[#This Row],[Campo]]),'2. Status Detalhe Campos FY24'!A:J,9,FALSE)</f>
        <v>0</v>
      </c>
    </row>
    <row r="799" spans="2:24" ht="17.899999999999999" customHeight="1">
      <c r="B799" s="2" t="s">
        <v>26</v>
      </c>
      <c r="C799" s="2" t="s">
        <v>310</v>
      </c>
      <c r="D799" s="2" t="s">
        <v>334</v>
      </c>
      <c r="E799" s="2" t="s">
        <v>38</v>
      </c>
      <c r="F799" s="2" t="s">
        <v>2080</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6">
        <f>+VLOOKUP(CONCATENATE(Table1[[#This Row],[Tabela]],Table1[[#This Row],[Campo]]),'2. Status Detalhe Campos FY24'!A:J,9,FALSE)</f>
        <v>0</v>
      </c>
    </row>
    <row r="800" spans="2:24" ht="17.899999999999999" customHeight="1">
      <c r="B800" s="2" t="s">
        <v>26</v>
      </c>
      <c r="C800" s="2" t="s">
        <v>310</v>
      </c>
      <c r="D800" s="2" t="s">
        <v>334</v>
      </c>
      <c r="E800" s="2" t="s">
        <v>38</v>
      </c>
      <c r="F800" s="2" t="s">
        <v>2080</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6">
        <f>+VLOOKUP(CONCATENATE(Table1[[#This Row],[Tabela]],Table1[[#This Row],[Campo]]),'2. Status Detalhe Campos FY24'!A:J,9,FALSE)</f>
        <v>0</v>
      </c>
    </row>
    <row r="801" spans="2:24" ht="139.4" customHeight="1">
      <c r="B801" s="2" t="s">
        <v>26</v>
      </c>
      <c r="C801" s="2" t="s">
        <v>310</v>
      </c>
      <c r="D801" s="2" t="s">
        <v>334</v>
      </c>
      <c r="E801" s="2" t="s">
        <v>38</v>
      </c>
      <c r="F801" s="2" t="s">
        <v>2080</v>
      </c>
      <c r="G801" s="2" t="s">
        <v>2409</v>
      </c>
      <c r="H801" s="56" t="str">
        <f>Table1[[#This Row],[Tabela]]&amp;Table1[[#This Row],[Campo]]</f>
        <v>modesg_out_sfics_taxon_europeianivel</v>
      </c>
      <c r="I801" s="2" t="s">
        <v>2320</v>
      </c>
      <c r="J801" s="42">
        <f>VLOOKUP(Table1[[#This Row],[Status]],Auxiliar!$B$16:$C$24,2,0)</f>
        <v>7</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2.5000000000000001E-2</v>
      </c>
      <c r="X801" s="166">
        <f>+VLOOKUP(CONCATENATE(Table1[[#This Row],[Tabela]],Table1[[#This Row],[Campo]]),'2. Status Detalhe Campos FY24'!A:J,9,FALSE)</f>
        <v>0</v>
      </c>
    </row>
    <row r="802" spans="2:24" ht="139.4"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612</v>
      </c>
      <c r="J823" s="42">
        <f>VLOOKUP(Table1[[#This Row],[Status]],Auxiliar!$B$16:$C$24,2,0)</f>
        <v>1</v>
      </c>
      <c r="K823" s="2"/>
      <c r="L823" s="28"/>
      <c r="M823" s="20"/>
      <c r="N823" s="47">
        <v>45716</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customHeight="1">
      <c r="B835" s="2" t="s">
        <v>26</v>
      </c>
      <c r="C835" s="2" t="s">
        <v>181</v>
      </c>
      <c r="D835" s="2" t="s">
        <v>1211</v>
      </c>
      <c r="E835" s="2" t="s">
        <v>38</v>
      </c>
      <c r="F835" s="2" t="s">
        <v>2097</v>
      </c>
      <c r="G835" s="2" t="s">
        <v>2409</v>
      </c>
      <c r="H835" s="56" t="str">
        <f>Table1[[#This Row],[Tabela]]&amp;Table1[[#This Row],[Campo]]</f>
        <v>modesg_param_sfics_taxon_europeianivel</v>
      </c>
      <c r="I835" s="2" t="s">
        <v>2320</v>
      </c>
      <c r="J835" s="54">
        <f>VLOOKUP(Table1[[#This Row],[Status]],Auxiliar!$B$16:$C$24,2,0)</f>
        <v>7</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166">
        <f>+VLOOKUP(CONCATENATE(Table1[[#This Row],[Tabela]],Table1[[#This Row],[Campo]]),'2. Status Detalhe Campos FY24'!A:J,9,FALSE)</f>
        <v>0</v>
      </c>
    </row>
    <row r="836" spans="2:24" ht="17.899999999999999" customHeight="1">
      <c r="B836" s="2" t="s">
        <v>26</v>
      </c>
      <c r="C836" s="2" t="s">
        <v>181</v>
      </c>
      <c r="D836" s="2" t="s">
        <v>1211</v>
      </c>
      <c r="E836" s="2" t="s">
        <v>38</v>
      </c>
      <c r="F836" s="2" t="s">
        <v>2097</v>
      </c>
      <c r="G836" s="2" t="s">
        <v>211</v>
      </c>
      <c r="H836" s="56" t="str">
        <f>Table1[[#This Row],[Tabela]]&amp;Table1[[#This Row],[Campo]]</f>
        <v>modesg_param_sfics_taxon_europeiaordem</v>
      </c>
      <c r="I836" s="2" t="s">
        <v>611</v>
      </c>
      <c r="J836" s="54">
        <f>VLOOKUP(Table1[[#This Row],[Status]],Auxiliar!$B$16:$C$24,2,0)</f>
        <v>0</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customHeight="1">
      <c r="B840" s="2" t="s">
        <v>26</v>
      </c>
      <c r="C840" s="2" t="s">
        <v>181</v>
      </c>
      <c r="D840" s="2" t="s">
        <v>1211</v>
      </c>
      <c r="E840" s="2" t="s">
        <v>38</v>
      </c>
      <c r="F840" s="2" t="s">
        <v>2097</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customHeight="1">
      <c r="B841" s="2" t="s">
        <v>26</v>
      </c>
      <c r="C841" s="2" t="s">
        <v>181</v>
      </c>
      <c r="D841" s="2" t="s">
        <v>1211</v>
      </c>
      <c r="E841" s="2" t="s">
        <v>38</v>
      </c>
      <c r="F841" s="2" t="s">
        <v>2097</v>
      </c>
      <c r="G841" s="2" t="s">
        <v>2409</v>
      </c>
      <c r="H841" s="56" t="str">
        <f>Table1[[#This Row],[Tabela]]&amp;Table1[[#This Row],[Campo]]</f>
        <v>modesg_param_sfics_taxon_europeianivel</v>
      </c>
      <c r="I841" s="2" t="s">
        <v>2320</v>
      </c>
      <c r="J841" s="54">
        <f>VLOOKUP(Table1[[#This Row],[Status]],Auxiliar!$B$16:$C$24,2,0)</f>
        <v>7</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customHeight="1">
      <c r="B871" s="2" t="s">
        <v>26</v>
      </c>
      <c r="C871" s="2" t="s">
        <v>181</v>
      </c>
      <c r="D871" s="2" t="s">
        <v>1211</v>
      </c>
      <c r="E871" s="2" t="s">
        <v>38</v>
      </c>
      <c r="F871" s="2" t="s">
        <v>2097</v>
      </c>
      <c r="G871" s="2" t="s">
        <v>390</v>
      </c>
      <c r="H871" s="56" t="str">
        <f>Table1[[#This Row],[Tabela]]&amp;Table1[[#This Row],[Campo]]</f>
        <v>modesg_param_sfics_taxon_europeiaambito</v>
      </c>
      <c r="I871" s="2" t="s">
        <v>2320</v>
      </c>
      <c r="J871" s="54">
        <f>VLOOKUP(Table1[[#This Row],[Status]],Auxiliar!$B$16:$C$24,2,0)</f>
        <v>7</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0.125</v>
      </c>
      <c r="X871" s="166">
        <f>+VLOOKUP(CONCATENATE(Table1[[#This Row],[Tabela]],Table1[[#This Row],[Campo]]),'2. Status Detalhe Campos FY24'!A:J,9,FALSE)</f>
        <v>0</v>
      </c>
    </row>
    <row r="872" spans="2:24" ht="17.899999999999999"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customHeight="1">
      <c r="B887" s="2" t="s">
        <v>26</v>
      </c>
      <c r="C887" s="2" t="s">
        <v>181</v>
      </c>
      <c r="D887" s="2" t="s">
        <v>1211</v>
      </c>
      <c r="E887" s="2" t="s">
        <v>38</v>
      </c>
      <c r="F887" s="2" t="s">
        <v>2097</v>
      </c>
      <c r="G887" s="2" t="s">
        <v>390</v>
      </c>
      <c r="H887" s="56" t="str">
        <f>Table1[[#This Row],[Tabela]]&amp;Table1[[#This Row],[Campo]]</f>
        <v>modesg_param_sfics_taxon_europeiaambito</v>
      </c>
      <c r="I887" s="2" t="s">
        <v>2320</v>
      </c>
      <c r="J887" s="54">
        <f>VLOOKUP(Table1[[#This Row],[Status]],Auxiliar!$B$16:$C$24,2,0)</f>
        <v>7</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614</v>
      </c>
      <c r="J1249" s="44">
        <f>VLOOKUP(Table1[[#This Row],[Status]],Auxiliar!$B$16:$C$24,2,0)</f>
        <v>5</v>
      </c>
      <c r="K1249" s="44" t="s">
        <v>1168</v>
      </c>
      <c r="L1249" s="45" t="s">
        <v>1174</v>
      </c>
      <c r="M1249" s="20" t="s">
        <v>1175</v>
      </c>
      <c r="N1249" s="47">
        <v>45632</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614</v>
      </c>
      <c r="J1250" s="44">
        <f>VLOOKUP(Table1[[#This Row],[Status]],Auxiliar!$B$16:$C$24,2,0)</f>
        <v>5</v>
      </c>
      <c r="K1250" s="44" t="s">
        <v>1169</v>
      </c>
      <c r="L1250" s="45" t="s">
        <v>1174</v>
      </c>
      <c r="M1250" s="20" t="s">
        <v>1175</v>
      </c>
      <c r="N1250" s="47">
        <v>45632</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614</v>
      </c>
      <c r="J1251" s="44">
        <f>VLOOKUP(Table1[[#This Row],[Status]],Auxiliar!$B$16:$C$24,2,0)</f>
        <v>5</v>
      </c>
      <c r="K1251" s="44" t="s">
        <v>1171</v>
      </c>
      <c r="L1251" s="45" t="s">
        <v>1174</v>
      </c>
      <c r="M1251" s="20" t="s">
        <v>1175</v>
      </c>
      <c r="N1251" s="47">
        <v>45632</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customHeight="1">
      <c r="B1287" s="40" t="s">
        <v>26</v>
      </c>
      <c r="C1287" s="40" t="s">
        <v>26</v>
      </c>
      <c r="D1287" s="36" t="s">
        <v>1270</v>
      </c>
      <c r="E1287" s="41" t="s">
        <v>1252</v>
      </c>
      <c r="F1287" s="39" t="s">
        <v>368</v>
      </c>
      <c r="G1287" s="37" t="s">
        <v>370</v>
      </c>
      <c r="H1287" s="59" t="str">
        <f>Table1[[#This Row],[Tabela]]&amp;Table1[[#This Row],[Campo]]</f>
        <v>lt004_protectionep_scr</v>
      </c>
      <c r="I1287" s="2" t="s">
        <v>614</v>
      </c>
      <c r="J1287" s="44">
        <f>VLOOKUP(Table1[[#This Row],[Status]],Auxiliar!$B$16:$C$24,2,0)</f>
        <v>5</v>
      </c>
      <c r="K1287" s="44" t="s">
        <v>1168</v>
      </c>
      <c r="L1287" s="45" t="s">
        <v>1174</v>
      </c>
      <c r="M1287" s="20" t="s">
        <v>1175</v>
      </c>
      <c r="N1287" s="47">
        <v>45667</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customHeight="1">
      <c r="B1288" s="38" t="s">
        <v>26</v>
      </c>
      <c r="C1288" s="38" t="s">
        <v>26</v>
      </c>
      <c r="D1288" s="38" t="s">
        <v>1270</v>
      </c>
      <c r="E1288" s="38" t="s">
        <v>1252</v>
      </c>
      <c r="F1288" s="38" t="s">
        <v>368</v>
      </c>
      <c r="G1288" s="38" t="s">
        <v>370</v>
      </c>
      <c r="H1288" s="58" t="str">
        <f>Table1[[#This Row],[Tabela]]&amp;Table1[[#This Row],[Campo]]</f>
        <v>lt004_protectionep_scr</v>
      </c>
      <c r="I1288" s="2" t="s">
        <v>614</v>
      </c>
      <c r="J1288" s="44">
        <f>VLOOKUP(Table1[[#This Row],[Status]],Auxiliar!$B$16:$C$24,2,0)</f>
        <v>5</v>
      </c>
      <c r="K1288" s="44" t="s">
        <v>1169</v>
      </c>
      <c r="L1288" s="45" t="s">
        <v>1174</v>
      </c>
      <c r="M1288" s="20" t="s">
        <v>1175</v>
      </c>
      <c r="N1288" s="47">
        <v>45667</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customHeight="1">
      <c r="B1289" s="38" t="s">
        <v>26</v>
      </c>
      <c r="C1289" s="38" t="s">
        <v>26</v>
      </c>
      <c r="D1289" s="38" t="s">
        <v>1270</v>
      </c>
      <c r="E1289" s="38" t="s">
        <v>1252</v>
      </c>
      <c r="F1289" s="38" t="s">
        <v>368</v>
      </c>
      <c r="G1289" s="38" t="s">
        <v>370</v>
      </c>
      <c r="H1289" s="58" t="str">
        <f>Table1[[#This Row],[Tabela]]&amp;Table1[[#This Row],[Campo]]</f>
        <v>lt004_protectionep_scr</v>
      </c>
      <c r="I1289" s="2" t="s">
        <v>614</v>
      </c>
      <c r="J1289" s="44">
        <f>VLOOKUP(Table1[[#This Row],[Status]],Auxiliar!$B$16:$C$24,2,0)</f>
        <v>5</v>
      </c>
      <c r="K1289" s="44" t="s">
        <v>1171</v>
      </c>
      <c r="L1289" s="45" t="s">
        <v>1174</v>
      </c>
      <c r="M1289" s="20" t="s">
        <v>1175</v>
      </c>
      <c r="N1289" s="47">
        <v>45667</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2320</v>
      </c>
      <c r="J1308" s="44">
        <f>VLOOKUP(Table1[[#This Row],[Status]],Auxiliar!$B$16:$C$24,2,0)</f>
        <v>7</v>
      </c>
      <c r="K1308" s="44" t="s">
        <v>1169</v>
      </c>
      <c r="L1308" s="45" t="s">
        <v>1174</v>
      </c>
      <c r="M1308" s="20" t="s">
        <v>1175</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66">
        <f>+VLOOKUP(CONCATENATE(Table1[[#This Row],[Tabela]],Table1[[#This Row],[Campo]]),'2. Status Detalhe Campos FY24'!A:J,9,FALSE)</f>
        <v>0</v>
      </c>
    </row>
    <row r="1309" spans="2:24" ht="17.899999999999999" customHeight="1">
      <c r="B1309" s="38" t="s">
        <v>26</v>
      </c>
      <c r="C1309" s="38" t="s">
        <v>26</v>
      </c>
      <c r="D1309" s="38" t="s">
        <v>1270</v>
      </c>
      <c r="E1309" s="38" t="s">
        <v>1252</v>
      </c>
      <c r="F1309" s="38" t="s">
        <v>379</v>
      </c>
      <c r="G1309" s="38" t="s">
        <v>2165</v>
      </c>
      <c r="H1309" s="58" t="str">
        <f>Table1[[#This Row],[Tabela]]&amp;Table1[[#This Row],[Campo]]</f>
        <v>lt002_instrumentINTRNL_SGMNT</v>
      </c>
      <c r="I1309" s="2" t="s">
        <v>2320</v>
      </c>
      <c r="J1309" s="44">
        <f>VLOOKUP(Table1[[#This Row],[Status]],Auxiliar!$B$16:$C$24,2,0)</f>
        <v>7</v>
      </c>
      <c r="K1309" s="44" t="s">
        <v>1169</v>
      </c>
      <c r="L1309" s="45" t="s">
        <v>1174</v>
      </c>
      <c r="M1309" s="20" t="s">
        <v>1175</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66">
        <f>+VLOOKUP(CONCATENATE(Table1[[#This Row],[Tabela]],Table1[[#This Row],[Campo]]),'2. Status Detalhe Campos FY24'!A:J,9,FALSE)</f>
        <v>0</v>
      </c>
    </row>
    <row r="1310" spans="2:24" ht="17.899999999999999" customHeight="1">
      <c r="B1310" s="38" t="s">
        <v>26</v>
      </c>
      <c r="C1310" s="38" t="s">
        <v>26</v>
      </c>
      <c r="D1310" s="38" t="s">
        <v>1270</v>
      </c>
      <c r="E1310" s="38" t="s">
        <v>1252</v>
      </c>
      <c r="F1310" s="38" t="s">
        <v>379</v>
      </c>
      <c r="G1310" s="38" t="s">
        <v>2166</v>
      </c>
      <c r="H1310" s="58" t="str">
        <f>Table1[[#This Row],[Tabela]]&amp;Table1[[#This Row],[Campo]]</f>
        <v>lt002_instrumentDT_ORGNL_MTRTY</v>
      </c>
      <c r="I1310" s="2" t="s">
        <v>2320</v>
      </c>
      <c r="J1310" s="44">
        <f>VLOOKUP(Table1[[#This Row],[Status]],Auxiliar!$B$16:$C$24,2,0)</f>
        <v>7</v>
      </c>
      <c r="K1310" s="44" t="s">
        <v>1169</v>
      </c>
      <c r="L1310" s="45" t="s">
        <v>1174</v>
      </c>
      <c r="M1310" s="20" t="s">
        <v>1175</v>
      </c>
      <c r="N1310" s="47">
        <v>45695</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0.5</v>
      </c>
      <c r="X1310" s="166">
        <f>+VLOOKUP(CONCATENATE(Table1[[#This Row],[Tabela]],Table1[[#This Row],[Campo]]),'2. Status Detalhe Campos FY24'!A:J,9,FALSE)</f>
        <v>0</v>
      </c>
    </row>
    <row r="1311" spans="2:24" ht="17.899999999999999" customHeight="1">
      <c r="B1311" s="38" t="s">
        <v>26</v>
      </c>
      <c r="C1311" s="38" t="s">
        <v>26</v>
      </c>
      <c r="D1311" s="38" t="s">
        <v>1270</v>
      </c>
      <c r="E1311" s="38" t="s">
        <v>1252</v>
      </c>
      <c r="F1311" s="38" t="s">
        <v>379</v>
      </c>
      <c r="G1311" s="38" t="s">
        <v>2167</v>
      </c>
      <c r="H1311" s="58" t="str">
        <f>Table1[[#This Row],[Tabela]]&amp;Table1[[#This Row],[Campo]]</f>
        <v>lt002_instrumentEAD</v>
      </c>
      <c r="I1311" s="2" t="s">
        <v>2320</v>
      </c>
      <c r="J1311" s="44">
        <f>VLOOKUP(Table1[[#This Row],[Status]],Auxiliar!$B$16:$C$24,2,0)</f>
        <v>7</v>
      </c>
      <c r="K1311" s="44" t="s">
        <v>1169</v>
      </c>
      <c r="L1311" s="45" t="s">
        <v>1174</v>
      </c>
      <c r="M1311" s="20" t="s">
        <v>1175</v>
      </c>
      <c r="N1311" s="47">
        <v>45695</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0.5</v>
      </c>
      <c r="X1311" s="166">
        <f>+VLOOKUP(CONCATENATE(Table1[[#This Row],[Tabela]],Table1[[#This Row],[Campo]]),'2. Status Detalhe Campos FY24'!A:J,9,FALSE)</f>
        <v>0</v>
      </c>
    </row>
    <row r="1312" spans="2:24" ht="17.899999999999999"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customHeight="1">
      <c r="B1313" s="38" t="s">
        <v>26</v>
      </c>
      <c r="C1313" s="38" t="s">
        <v>26</v>
      </c>
      <c r="D1313" s="38" t="s">
        <v>1270</v>
      </c>
      <c r="E1313" s="38" t="s">
        <v>1252</v>
      </c>
      <c r="F1313" s="38" t="s">
        <v>379</v>
      </c>
      <c r="G1313" s="38" t="s">
        <v>1418</v>
      </c>
      <c r="H1313" s="58" t="str">
        <f>Table1[[#This Row],[Tabela]]&amp;Table1[[#This Row],[Campo]]</f>
        <v>lt002_instrumentRWA</v>
      </c>
      <c r="I1313" s="2" t="s">
        <v>2320</v>
      </c>
      <c r="J1313" s="44">
        <f>VLOOKUP(Table1[[#This Row],[Status]],Auxiliar!$B$16:$C$24,2,0)</f>
        <v>7</v>
      </c>
      <c r="K1313" s="44" t="s">
        <v>1169</v>
      </c>
      <c r="L1313" s="45" t="s">
        <v>1174</v>
      </c>
      <c r="M1313" s="20" t="s">
        <v>1175</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66">
        <f>+VLOOKUP(CONCATENATE(Table1[[#This Row],[Tabela]],Table1[[#This Row],[Campo]]),'2. Status Detalhe Campos FY24'!A:J,9,FALSE)</f>
        <v>0</v>
      </c>
    </row>
    <row r="1314" spans="2:24" ht="17.899999999999999" customHeight="1">
      <c r="B1314" s="38" t="s">
        <v>26</v>
      </c>
      <c r="C1314" s="38" t="s">
        <v>26</v>
      </c>
      <c r="D1314" s="38" t="s">
        <v>1270</v>
      </c>
      <c r="E1314" s="38" t="s">
        <v>1252</v>
      </c>
      <c r="F1314" s="38" t="s">
        <v>379</v>
      </c>
      <c r="G1314" s="38" t="s">
        <v>2168</v>
      </c>
      <c r="H1314" s="58" t="str">
        <f>Table1[[#This Row],[Tabela]]&amp;Table1[[#This Row],[Campo]]</f>
        <v>lt002_instrumentLTV</v>
      </c>
      <c r="I1314" s="2" t="s">
        <v>2320</v>
      </c>
      <c r="J1314" s="44">
        <f>VLOOKUP(Table1[[#This Row],[Status]],Auxiliar!$B$16:$C$24,2,0)</f>
        <v>7</v>
      </c>
      <c r="K1314" s="44" t="s">
        <v>1169</v>
      </c>
      <c r="L1314" s="45" t="s">
        <v>1174</v>
      </c>
      <c r="M1314" s="20" t="s">
        <v>1175</v>
      </c>
      <c r="N1314" s="47">
        <v>45695</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0.5</v>
      </c>
      <c r="X1314" s="166">
        <f>+VLOOKUP(CONCATENATE(Table1[[#This Row],[Tabela]],Table1[[#This Row],[Campo]]),'2. Status Detalhe Campos FY24'!A:J,9,FALSE)</f>
        <v>0</v>
      </c>
    </row>
    <row r="1315" spans="2:24" ht="17.899999999999999" customHeight="1">
      <c r="B1315" s="38" t="s">
        <v>26</v>
      </c>
      <c r="C1315" s="38" t="s">
        <v>26</v>
      </c>
      <c r="D1315" s="38" t="s">
        <v>1270</v>
      </c>
      <c r="E1315" s="38" t="s">
        <v>1252</v>
      </c>
      <c r="F1315" s="38" t="s">
        <v>379</v>
      </c>
      <c r="G1315" s="38" t="s">
        <v>2169</v>
      </c>
      <c r="H1315" s="58" t="str">
        <f>Table1[[#This Row],[Tabela]]&amp;Table1[[#This Row],[Campo]]</f>
        <v>lt002_instrumentLTV_INCPTN</v>
      </c>
      <c r="I1315" s="2" t="s">
        <v>2320</v>
      </c>
      <c r="J1315" s="44">
        <f>VLOOKUP(Table1[[#This Row],[Status]],Auxiliar!$B$16:$C$24,2,0)</f>
        <v>7</v>
      </c>
      <c r="K1315" s="44" t="s">
        <v>1169</v>
      </c>
      <c r="L1315" s="45" t="s">
        <v>1174</v>
      </c>
      <c r="M1315" s="20" t="s">
        <v>1175</v>
      </c>
      <c r="N1315" s="47">
        <v>45695</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0.5</v>
      </c>
      <c r="X1315" s="166">
        <f>+VLOOKUP(CONCATENATE(Table1[[#This Row],[Tabela]],Table1[[#This Row],[Campo]]),'2. Status Detalhe Campos FY24'!A:J,9,FALSE)</f>
        <v>0</v>
      </c>
    </row>
    <row r="1316" spans="2:24" ht="17.899999999999999" customHeight="1">
      <c r="B1316" s="38" t="s">
        <v>26</v>
      </c>
      <c r="C1316" s="38" t="s">
        <v>26</v>
      </c>
      <c r="D1316" s="38" t="s">
        <v>1270</v>
      </c>
      <c r="E1316" s="38" t="s">
        <v>1252</v>
      </c>
      <c r="F1316" s="38" t="s">
        <v>379</v>
      </c>
      <c r="G1316" s="38" t="s">
        <v>2170</v>
      </c>
      <c r="H1316" s="58" t="str">
        <f>Table1[[#This Row],[Tabela]]&amp;Table1[[#This Row],[Campo]]</f>
        <v>lt002_instrumentEIR</v>
      </c>
      <c r="I1316" s="2" t="s">
        <v>2320</v>
      </c>
      <c r="J1316" s="44">
        <f>VLOOKUP(Table1[[#This Row],[Status]],Auxiliar!$B$16:$C$24,2,0)</f>
        <v>7</v>
      </c>
      <c r="K1316" s="44" t="s">
        <v>1169</v>
      </c>
      <c r="L1316" s="45" t="s">
        <v>1174</v>
      </c>
      <c r="M1316" s="20" t="s">
        <v>1175</v>
      </c>
      <c r="N1316" s="47">
        <v>45695</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0.5</v>
      </c>
      <c r="X1316" s="166">
        <f>+VLOOKUP(CONCATENATE(Table1[[#This Row],[Tabela]],Table1[[#This Row],[Campo]]),'2. Status Detalhe Campos FY24'!A:J,9,FALSE)</f>
        <v>0</v>
      </c>
    </row>
    <row r="1317" spans="2:24" ht="17.899999999999999" customHeight="1">
      <c r="B1317" s="38" t="s">
        <v>26</v>
      </c>
      <c r="C1317" s="38" t="s">
        <v>26</v>
      </c>
      <c r="D1317" s="38" t="s">
        <v>1270</v>
      </c>
      <c r="E1317" s="38" t="s">
        <v>1252</v>
      </c>
      <c r="F1317" s="38" t="s">
        <v>379</v>
      </c>
      <c r="G1317" s="38" t="s">
        <v>2171</v>
      </c>
      <c r="H1317" s="58" t="str">
        <f>Table1[[#This Row],[Tabela]]&amp;Table1[[#This Row],[Campo]]</f>
        <v>lt002_instrumentEIR_INCPTN</v>
      </c>
      <c r="I1317" s="2" t="s">
        <v>2320</v>
      </c>
      <c r="J1317" s="44">
        <f>VLOOKUP(Table1[[#This Row],[Status]],Auxiliar!$B$16:$C$24,2,0)</f>
        <v>7</v>
      </c>
      <c r="K1317" s="44" t="s">
        <v>1169</v>
      </c>
      <c r="L1317" s="45" t="s">
        <v>1174</v>
      </c>
      <c r="M1317" s="20" t="s">
        <v>1175</v>
      </c>
      <c r="N1317" s="47">
        <v>45695</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0.5</v>
      </c>
      <c r="X1317" s="166">
        <f>+VLOOKUP(CONCATENATE(Table1[[#This Row],[Tabela]],Table1[[#This Row],[Campo]]),'2. Status Detalhe Campos FY24'!A:J,9,FALSE)</f>
        <v>0</v>
      </c>
    </row>
    <row r="1318" spans="2:24" ht="17.899999999999999"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2320</v>
      </c>
      <c r="J1318" s="44">
        <f>VLOOKUP(Table1[[#This Row],[Status]],Auxiliar!$B$16:$C$24,2,0)</f>
        <v>7</v>
      </c>
      <c r="K1318" s="44" t="s">
        <v>1169</v>
      </c>
      <c r="L1318" s="45" t="s">
        <v>1174</v>
      </c>
      <c r="M1318" s="20" t="s">
        <v>1175</v>
      </c>
      <c r="N1318" s="47">
        <v>45695</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0.5</v>
      </c>
      <c r="X1318" s="166">
        <f>+VLOOKUP(CONCATENATE(Table1[[#This Row],[Tabela]],Table1[[#This Row],[Campo]]),'2. Status Detalhe Campos FY24'!A:J,9,FALSE)</f>
        <v>0</v>
      </c>
    </row>
    <row r="1319" spans="2:24" ht="17.899999999999999"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2320</v>
      </c>
      <c r="J1319" s="44">
        <f>VLOOKUP(Table1[[#This Row],[Status]],Auxiliar!$B$16:$C$24,2,0)</f>
        <v>7</v>
      </c>
      <c r="K1319" s="44" t="s">
        <v>1169</v>
      </c>
      <c r="L1319" s="45" t="s">
        <v>1174</v>
      </c>
      <c r="M1319" s="20" t="s">
        <v>1175</v>
      </c>
      <c r="N1319" s="47">
        <v>45695</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0.5</v>
      </c>
      <c r="X1319" s="166">
        <f>+VLOOKUP(CONCATENATE(Table1[[#This Row],[Tabela]],Table1[[#This Row],[Campo]]),'2. Status Detalhe Campos FY24'!A:J,9,FALSE)</f>
        <v>0</v>
      </c>
    </row>
    <row r="1320" spans="2:24" ht="17.899999999999999"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customHeight="1">
      <c r="B1323" s="38" t="s">
        <v>26</v>
      </c>
      <c r="C1323" s="38" t="s">
        <v>26</v>
      </c>
      <c r="D1323" s="38" t="s">
        <v>1270</v>
      </c>
      <c r="E1323" s="38" t="s">
        <v>1252</v>
      </c>
      <c r="F1323" s="38" t="s">
        <v>379</v>
      </c>
      <c r="G1323" s="38" t="s">
        <v>2175</v>
      </c>
      <c r="H1323" s="58" t="str">
        <f>Table1[[#This Row],[Tabela]]&amp;Table1[[#This Row],[Campo]]</f>
        <v>lt002_instrumentFLG_MNMM_SFGRDS</v>
      </c>
      <c r="I1323" s="2" t="s">
        <v>2320</v>
      </c>
      <c r="J1323" s="44">
        <f>VLOOKUP(Table1[[#This Row],[Status]],Auxiliar!$B$16:$C$24,2,0)</f>
        <v>7</v>
      </c>
      <c r="K1323" s="44" t="s">
        <v>1169</v>
      </c>
      <c r="L1323" s="45" t="s">
        <v>1174</v>
      </c>
      <c r="M1323" s="20" t="s">
        <v>1175</v>
      </c>
      <c r="N1323" s="47">
        <v>45695</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0.5</v>
      </c>
      <c r="X1323" s="166">
        <f>+VLOOKUP(CONCATENATE(Table1[[#This Row],[Tabela]],Table1[[#This Row],[Campo]]),'2. Status Detalhe Campos FY24'!A:J,9,FALSE)</f>
        <v>0</v>
      </c>
    </row>
    <row r="1324" spans="2:24" ht="17.899999999999999"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customHeight="1">
      <c r="B1424" s="38" t="s">
        <v>26</v>
      </c>
      <c r="C1424" s="38" t="s">
        <v>26</v>
      </c>
      <c r="D1424" s="19"/>
      <c r="E1424" s="111"/>
      <c r="F1424" s="39" t="s">
        <v>1860</v>
      </c>
      <c r="G1424" s="358" t="s">
        <v>1293</v>
      </c>
      <c r="H1424" s="58" t="str">
        <f>Table1[[#This Row],[Tabela]]&amp;Table1[[#This Row],[Campo]]</f>
        <v>lt007_instr_activityCOD_SOC</v>
      </c>
      <c r="I1424" s="2" t="s">
        <v>2320</v>
      </c>
      <c r="J1424" s="44">
        <f>VLOOKUP(Table1[[#This Row],[Status]],Auxiliar!$B$16:$C$24,2,0)</f>
        <v>7</v>
      </c>
      <c r="K1424" s="20"/>
      <c r="L1424" s="45"/>
      <c r="M1424" s="20"/>
      <c r="N1424" s="47"/>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customHeight="1">
      <c r="B1425" s="38" t="s">
        <v>26</v>
      </c>
      <c r="C1425" s="38" t="s">
        <v>26</v>
      </c>
      <c r="D1425" s="19"/>
      <c r="E1425" s="111"/>
      <c r="F1425" s="39" t="s">
        <v>1860</v>
      </c>
      <c r="G1425" s="358" t="s">
        <v>1298</v>
      </c>
      <c r="H1425" s="58" t="str">
        <f>Table1[[#This Row],[Tabela]]&amp;Table1[[#This Row],[Campo]]</f>
        <v>lt007_instr_activityDT_RFRNC</v>
      </c>
      <c r="I1425" s="2" t="s">
        <v>2320</v>
      </c>
      <c r="J1425" s="44">
        <f>VLOOKUP(Table1[[#This Row],[Status]],Auxiliar!$B$16:$C$24,2,0)</f>
        <v>7</v>
      </c>
      <c r="K1425" s="20"/>
      <c r="L1425" s="45"/>
      <c r="M1425" s="20"/>
      <c r="N1425" s="47">
        <v>45695</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customHeight="1">
      <c r="B1426" s="38" t="s">
        <v>26</v>
      </c>
      <c r="C1426" s="38" t="s">
        <v>26</v>
      </c>
      <c r="D1426" s="19"/>
      <c r="E1426" s="111"/>
      <c r="F1426" s="39" t="s">
        <v>1860</v>
      </c>
      <c r="G1426" s="358" t="s">
        <v>1307</v>
      </c>
      <c r="H1426" s="58" t="str">
        <f>Table1[[#This Row],[Tabela]]&amp;Table1[[#This Row],[Campo]]</f>
        <v>lt007_instr_activityINSTRMNT_ID</v>
      </c>
      <c r="I1426" s="2" t="s">
        <v>2320</v>
      </c>
      <c r="J1426" s="44">
        <f>VLOOKUP(Table1[[#This Row],[Status]],Auxiliar!$B$16:$C$24,2,0)</f>
        <v>7</v>
      </c>
      <c r="K1426" s="20"/>
      <c r="L1426" s="45"/>
      <c r="M1426" s="20"/>
      <c r="N1426" s="47"/>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customHeight="1">
      <c r="B1429" s="38" t="s">
        <v>26</v>
      </c>
      <c r="C1429" s="38" t="s">
        <v>26</v>
      </c>
      <c r="D1429" s="19"/>
      <c r="E1429" s="111"/>
      <c r="F1429" s="39" t="s">
        <v>1860</v>
      </c>
      <c r="G1429" s="358" t="s">
        <v>2294</v>
      </c>
      <c r="H1429" s="58" t="str">
        <f>Table1[[#This Row],[Tabela]]&amp;Table1[[#This Row],[Campo]]</f>
        <v>lt007_instr_activityFLG_DNSH_CMPLNC</v>
      </c>
      <c r="I1429" s="2" t="s">
        <v>2320</v>
      </c>
      <c r="J1429" s="44">
        <f>VLOOKUP(Table1[[#This Row],[Status]],Auxiliar!$B$16:$C$24,2,0)</f>
        <v>7</v>
      </c>
      <c r="K1429" s="20"/>
      <c r="L1429" s="45"/>
      <c r="M1429" s="20"/>
      <c r="N1429" s="47">
        <v>45695</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customHeight="1">
      <c r="B1430" s="38" t="s">
        <v>26</v>
      </c>
      <c r="C1430" s="38" t="s">
        <v>26</v>
      </c>
      <c r="D1430" s="19"/>
      <c r="E1430" s="111"/>
      <c r="F1430" s="39" t="s">
        <v>1860</v>
      </c>
      <c r="G1430" s="358" t="s">
        <v>2295</v>
      </c>
      <c r="H1430" s="58" t="str">
        <f>Table1[[#This Row],[Tabela]]&amp;Table1[[#This Row],[Campo]]</f>
        <v>lt007_instr_activityDNSH_DTL</v>
      </c>
      <c r="I1430" s="2" t="s">
        <v>2320</v>
      </c>
      <c r="J1430" s="44">
        <f>VLOOKUP(Table1[[#This Row],[Status]],Auxiliar!$B$16:$C$24,2,0)</f>
        <v>7</v>
      </c>
      <c r="K1430" s="20"/>
      <c r="L1430" s="45"/>
      <c r="M1430" s="20"/>
      <c r="N1430" s="47">
        <v>45695</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612</v>
      </c>
      <c r="J1431" s="44">
        <f>VLOOKUP(Table1[[#This Row],[Status]],Auxiliar!$B$16:$C$24,2,0)</f>
        <v>1</v>
      </c>
      <c r="K1431" s="20" t="s">
        <v>1173</v>
      </c>
      <c r="L1431" s="45" t="s">
        <v>1174</v>
      </c>
      <c r="M1431" s="20" t="s">
        <v>1175</v>
      </c>
      <c r="N1431" s="47">
        <v>45716</v>
      </c>
      <c r="O1431" s="112">
        <v>0.1</v>
      </c>
      <c r="P1431" s="42"/>
      <c r="Q1431" s="151"/>
      <c r="R1431" s="151"/>
      <c r="S1431" s="151"/>
      <c r="T1431" s="151"/>
      <c r="U1431" s="151">
        <v>45624</v>
      </c>
      <c r="V1431" s="151">
        <v>45624</v>
      </c>
      <c r="W1431" s="2">
        <f>VLOOKUP(Table1[[#This Row],[Status]],Auxiliar!$B$16:$D$24,3,0)*Table1[[#This Row],[Estimação (horas)]]</f>
        <v>0.1</v>
      </c>
      <c r="X1431" s="166">
        <f>+VLOOKUP(CONCATENATE(Table1[[#This Row],[Tabela]],Table1[[#This Row],[Campo]]),'2. Status Detalhe Campos FY24'!A:J,9,FALSE)</f>
        <v>0</v>
      </c>
    </row>
    <row r="1432" spans="2:24" ht="17.899999999999999"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58" t="s">
        <v>2192</v>
      </c>
      <c r="H1448" s="58" t="str">
        <f>Table1[[#This Row],[Tabela]]&amp;Table1[[#This Row],[Campo]]</f>
        <v>lt003_entityentty_nm</v>
      </c>
      <c r="I1448" s="2" t="s">
        <v>2320</v>
      </c>
      <c r="J1448" s="44">
        <f>VLOOKUP(Table1[[#This Row],[Status]],Auxiliar!$B$16:$C$24,2,0)</f>
        <v>7</v>
      </c>
      <c r="K1448" s="20" t="s">
        <v>1173</v>
      </c>
      <c r="L1448" s="45" t="s">
        <v>1174</v>
      </c>
      <c r="M1448" s="20" t="s">
        <v>1175</v>
      </c>
      <c r="N1448" s="47">
        <v>45695</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166">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58" t="s">
        <v>2196</v>
      </c>
      <c r="H1452" s="58" t="str">
        <f>Table1[[#This Row],[Tabela]]&amp;Table1[[#This Row],[Campo]]</f>
        <v>lt003_entitytxnmy_elgbl_capex_w</v>
      </c>
      <c r="I1452" s="2" t="s">
        <v>2320</v>
      </c>
      <c r="J1452" s="44">
        <f>VLOOKUP(Table1[[#This Row],[Status]],Auxiliar!$B$16:$C$24,2,0)</f>
        <v>7</v>
      </c>
      <c r="K1452" s="20" t="s">
        <v>1173</v>
      </c>
      <c r="L1452" s="45" t="s">
        <v>1174</v>
      </c>
      <c r="M1452" s="20" t="s">
        <v>1175</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166">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58" t="s">
        <v>2197</v>
      </c>
      <c r="H1453" s="58" t="str">
        <f>Table1[[#This Row],[Tabela]]&amp;Table1[[#This Row],[Campo]]</f>
        <v>lt003_entitytxnmy_elgbl_trnvr_w</v>
      </c>
      <c r="I1453" s="2" t="s">
        <v>2320</v>
      </c>
      <c r="J1453" s="44">
        <f>VLOOKUP(Table1[[#This Row],[Status]],Auxiliar!$B$16:$C$24,2,0)</f>
        <v>7</v>
      </c>
      <c r="K1453" s="20" t="s">
        <v>1173</v>
      </c>
      <c r="L1453" s="45" t="s">
        <v>1174</v>
      </c>
      <c r="M1453" s="20" t="s">
        <v>1175</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166">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58" t="s">
        <v>2198</v>
      </c>
      <c r="H1454" s="58" t="str">
        <f>Table1[[#This Row],[Tabela]]&amp;Table1[[#This Row],[Campo]]</f>
        <v>lt003_entitytxnmy_elgbl_capex_p</v>
      </c>
      <c r="I1454" s="2" t="s">
        <v>2320</v>
      </c>
      <c r="J1454" s="44">
        <f>VLOOKUP(Table1[[#This Row],[Status]],Auxiliar!$B$16:$C$24,2,0)</f>
        <v>7</v>
      </c>
      <c r="K1454" s="20" t="s">
        <v>1173</v>
      </c>
      <c r="L1454" s="45" t="s">
        <v>1174</v>
      </c>
      <c r="M1454" s="20" t="s">
        <v>1175</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166">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58" t="s">
        <v>2199</v>
      </c>
      <c r="H1455" s="58" t="str">
        <f>Table1[[#This Row],[Tabela]]&amp;Table1[[#This Row],[Campo]]</f>
        <v>lt003_entitytxnmy_elgbl_trnvr_p</v>
      </c>
      <c r="I1455" s="2" t="s">
        <v>2320</v>
      </c>
      <c r="J1455" s="44">
        <f>VLOOKUP(Table1[[#This Row],[Status]],Auxiliar!$B$16:$C$24,2,0)</f>
        <v>7</v>
      </c>
      <c r="K1455" s="20" t="s">
        <v>1173</v>
      </c>
      <c r="L1455" s="45" t="s">
        <v>1174</v>
      </c>
      <c r="M1455" s="20" t="s">
        <v>1175</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166">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58" t="s">
        <v>2200</v>
      </c>
      <c r="H1456" s="58" t="str">
        <f>Table1[[#This Row],[Tabela]]&amp;Table1[[#This Row],[Campo]]</f>
        <v>lt003_entitytxnmy_elgbl_capex_b</v>
      </c>
      <c r="I1456" s="2" t="s">
        <v>2320</v>
      </c>
      <c r="J1456" s="44">
        <f>VLOOKUP(Table1[[#This Row],[Status]],Auxiliar!$B$16:$C$24,2,0)</f>
        <v>7</v>
      </c>
      <c r="K1456" s="20" t="s">
        <v>1173</v>
      </c>
      <c r="L1456" s="45" t="s">
        <v>1174</v>
      </c>
      <c r="M1456" s="20" t="s">
        <v>1175</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166">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58" t="s">
        <v>2201</v>
      </c>
      <c r="H1457" s="58" t="str">
        <f>Table1[[#This Row],[Tabela]]&amp;Table1[[#This Row],[Campo]]</f>
        <v>lt003_entitytxnmy_elgbl_trnvr_b</v>
      </c>
      <c r="I1457" s="2" t="s">
        <v>2320</v>
      </c>
      <c r="J1457" s="44">
        <f>VLOOKUP(Table1[[#This Row],[Status]],Auxiliar!$B$16:$C$24,2,0)</f>
        <v>7</v>
      </c>
      <c r="K1457" s="20" t="s">
        <v>1173</v>
      </c>
      <c r="L1457" s="45" t="s">
        <v>1174</v>
      </c>
      <c r="M1457" s="20" t="s">
        <v>1175</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166">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58" t="s">
        <v>2202</v>
      </c>
      <c r="H1458" s="58" t="str">
        <f>Table1[[#This Row],[Tabela]]&amp;Table1[[#This Row],[Campo]]</f>
        <v>lt003_entitytxnmy_elgbl_capex_ce</v>
      </c>
      <c r="I1458" s="2" t="s">
        <v>2320</v>
      </c>
      <c r="J1458" s="44">
        <f>VLOOKUP(Table1[[#This Row],[Status]],Auxiliar!$B$16:$C$24,2,0)</f>
        <v>7</v>
      </c>
      <c r="K1458" s="20" t="s">
        <v>1173</v>
      </c>
      <c r="L1458" s="45" t="s">
        <v>1174</v>
      </c>
      <c r="M1458" s="20" t="s">
        <v>1175</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166">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58" t="s">
        <v>2203</v>
      </c>
      <c r="H1459" s="58" t="str">
        <f>Table1[[#This Row],[Tabela]]&amp;Table1[[#This Row],[Campo]]</f>
        <v>lt003_entitytxnmy_elgbl_trnvr_ce</v>
      </c>
      <c r="I1459" s="2" t="s">
        <v>2320</v>
      </c>
      <c r="J1459" s="44">
        <f>VLOOKUP(Table1[[#This Row],[Status]],Auxiliar!$B$16:$C$24,2,0)</f>
        <v>7</v>
      </c>
      <c r="K1459" s="20" t="s">
        <v>1173</v>
      </c>
      <c r="L1459" s="45" t="s">
        <v>1174</v>
      </c>
      <c r="M1459" s="20" t="s">
        <v>1175</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166">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58" t="s">
        <v>2204</v>
      </c>
      <c r="H1460" s="58" t="str">
        <f>Table1[[#This Row],[Tabela]]&amp;Table1[[#This Row],[Campo]]</f>
        <v>lt003_entitypure_capex_p</v>
      </c>
      <c r="I1460" s="2" t="s">
        <v>2320</v>
      </c>
      <c r="J1460" s="44">
        <f>VLOOKUP(Table1[[#This Row],[Status]],Auxiliar!$B$16:$C$24,2,0)</f>
        <v>7</v>
      </c>
      <c r="K1460" s="20" t="s">
        <v>1173</v>
      </c>
      <c r="L1460" s="45" t="s">
        <v>1174</v>
      </c>
      <c r="M1460" s="20" t="s">
        <v>1175</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166">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58" t="s">
        <v>2205</v>
      </c>
      <c r="H1461" s="58" t="str">
        <f>Table1[[#This Row],[Tabela]]&amp;Table1[[#This Row],[Campo]]</f>
        <v>lt003_entitypure_trnvr_p</v>
      </c>
      <c r="I1461" s="2" t="s">
        <v>2320</v>
      </c>
      <c r="J1461" s="44">
        <f>VLOOKUP(Table1[[#This Row],[Status]],Auxiliar!$B$16:$C$24,2,0)</f>
        <v>7</v>
      </c>
      <c r="K1461" s="20" t="s">
        <v>1173</v>
      </c>
      <c r="L1461" s="45" t="s">
        <v>1174</v>
      </c>
      <c r="M1461" s="20" t="s">
        <v>1175</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166">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58" t="s">
        <v>2206</v>
      </c>
      <c r="H1462" s="58" t="str">
        <f>Table1[[#This Row],[Tabela]]&amp;Table1[[#This Row],[Campo]]</f>
        <v>lt003_entitypure_capex_b</v>
      </c>
      <c r="I1462" s="2" t="s">
        <v>2320</v>
      </c>
      <c r="J1462" s="44">
        <f>VLOOKUP(Table1[[#This Row],[Status]],Auxiliar!$B$16:$C$24,2,0)</f>
        <v>7</v>
      </c>
      <c r="K1462" s="20" t="s">
        <v>1173</v>
      </c>
      <c r="L1462" s="45" t="s">
        <v>1174</v>
      </c>
      <c r="M1462" s="20" t="s">
        <v>1175</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166">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58" t="s">
        <v>2207</v>
      </c>
      <c r="H1463" s="58" t="str">
        <f>Table1[[#This Row],[Tabela]]&amp;Table1[[#This Row],[Campo]]</f>
        <v>lt003_entitypure_trnvr_b</v>
      </c>
      <c r="I1463" s="2" t="s">
        <v>2320</v>
      </c>
      <c r="J1463" s="44">
        <f>VLOOKUP(Table1[[#This Row],[Status]],Auxiliar!$B$16:$C$24,2,0)</f>
        <v>7</v>
      </c>
      <c r="K1463" s="20" t="s">
        <v>1173</v>
      </c>
      <c r="L1463" s="45" t="s">
        <v>1174</v>
      </c>
      <c r="M1463" s="20" t="s">
        <v>1175</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166">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58" t="s">
        <v>2208</v>
      </c>
      <c r="H1464" s="58" t="str">
        <f>Table1[[#This Row],[Tabela]]&amp;Table1[[#This Row],[Campo]]</f>
        <v>lt003_entitypure_capex_w</v>
      </c>
      <c r="I1464" s="2" t="s">
        <v>2320</v>
      </c>
      <c r="J1464" s="44">
        <f>VLOOKUP(Table1[[#This Row],[Status]],Auxiliar!$B$16:$C$24,2,0)</f>
        <v>7</v>
      </c>
      <c r="K1464" s="20" t="s">
        <v>1173</v>
      </c>
      <c r="L1464" s="45" t="s">
        <v>1174</v>
      </c>
      <c r="M1464" s="20" t="s">
        <v>1175</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166">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58" t="s">
        <v>2209</v>
      </c>
      <c r="H1465" s="58" t="str">
        <f>Table1[[#This Row],[Tabela]]&amp;Table1[[#This Row],[Campo]]</f>
        <v>lt003_entitypure_trnvr_w</v>
      </c>
      <c r="I1465" s="2" t="s">
        <v>2320</v>
      </c>
      <c r="J1465" s="44">
        <f>VLOOKUP(Table1[[#This Row],[Status]],Auxiliar!$B$16:$C$24,2,0)</f>
        <v>7</v>
      </c>
      <c r="K1465" s="20" t="s">
        <v>1173</v>
      </c>
      <c r="L1465" s="45" t="s">
        <v>1174</v>
      </c>
      <c r="M1465" s="20" t="s">
        <v>1175</v>
      </c>
      <c r="N1465" s="47">
        <v>45688</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0.25</v>
      </c>
      <c r="X1465" s="166">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58" t="s">
        <v>2210</v>
      </c>
      <c r="H1466" s="58" t="str">
        <f>Table1[[#This Row],[Tabela]]&amp;Table1[[#This Row],[Campo]]</f>
        <v>lt003_entitypure_capex_ce</v>
      </c>
      <c r="I1466" s="2" t="s">
        <v>2320</v>
      </c>
      <c r="J1466" s="44">
        <f>VLOOKUP(Table1[[#This Row],[Status]],Auxiliar!$B$16:$C$24,2,0)</f>
        <v>7</v>
      </c>
      <c r="K1466" s="20" t="s">
        <v>1173</v>
      </c>
      <c r="L1466" s="45" t="s">
        <v>1174</v>
      </c>
      <c r="M1466" s="20" t="s">
        <v>1175</v>
      </c>
      <c r="N1466" s="47">
        <v>45688</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0.25</v>
      </c>
      <c r="X1466" s="166">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58" t="s">
        <v>2211</v>
      </c>
      <c r="H1467" s="58" t="str">
        <f>Table1[[#This Row],[Tabela]]&amp;Table1[[#This Row],[Campo]]</f>
        <v>lt003_entitypure_trnvr_ce</v>
      </c>
      <c r="I1467" s="2" t="s">
        <v>2320</v>
      </c>
      <c r="J1467" s="44">
        <f>VLOOKUP(Table1[[#This Row],[Status]],Auxiliar!$B$16:$C$24,2,0)</f>
        <v>7</v>
      </c>
      <c r="K1467" s="20" t="s">
        <v>1173</v>
      </c>
      <c r="L1467" s="45" t="s">
        <v>1174</v>
      </c>
      <c r="M1467" s="20" t="s">
        <v>1175</v>
      </c>
      <c r="N1467" s="47">
        <v>45688</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0.25</v>
      </c>
      <c r="X1467" s="166">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58" t="s">
        <v>2212</v>
      </c>
      <c r="H1468" s="58" t="str">
        <f>Table1[[#This Row],[Tabela]]&amp;Table1[[#This Row],[Campo]]</f>
        <v>lt003_entityenblng_capex_w</v>
      </c>
      <c r="I1468" s="2" t="s">
        <v>2320</v>
      </c>
      <c r="J1468" s="44">
        <f>VLOOKUP(Table1[[#This Row],[Status]],Auxiliar!$B$16:$C$24,2,0)</f>
        <v>7</v>
      </c>
      <c r="K1468" s="20" t="s">
        <v>1173</v>
      </c>
      <c r="L1468" s="45" t="s">
        <v>1174</v>
      </c>
      <c r="M1468" s="20" t="s">
        <v>1175</v>
      </c>
      <c r="N1468" s="47">
        <v>45688</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0.25</v>
      </c>
      <c r="X1468" s="166">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58" t="s">
        <v>2213</v>
      </c>
      <c r="H1469" s="58" t="str">
        <f>Table1[[#This Row],[Tabela]]&amp;Table1[[#This Row],[Campo]]</f>
        <v>lt003_entityenblng_trnvr_w</v>
      </c>
      <c r="I1469" s="2" t="s">
        <v>2320</v>
      </c>
      <c r="J1469" s="44">
        <f>VLOOKUP(Table1[[#This Row],[Status]],Auxiliar!$B$16:$C$24,2,0)</f>
        <v>7</v>
      </c>
      <c r="K1469" s="20" t="s">
        <v>1173</v>
      </c>
      <c r="L1469" s="45" t="s">
        <v>1174</v>
      </c>
      <c r="M1469" s="20" t="s">
        <v>1175</v>
      </c>
      <c r="N1469" s="47">
        <v>45688</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0.25</v>
      </c>
      <c r="X1469" s="166">
        <f>+VLOOKUP(CONCATENATE(Table1[[#This Row],[Tabela]],Table1[[#This Row],[Campo]]),'2. Status Detalhe Campos FY24'!A:J,9,FALSE)</f>
        <v>0</v>
      </c>
    </row>
    <row r="1470" spans="2:24" ht="17.899999999999999" customHeight="1">
      <c r="B1470" s="38" t="s">
        <v>26</v>
      </c>
      <c r="C1470" s="38" t="s">
        <v>26</v>
      </c>
      <c r="D1470" s="19" t="s">
        <v>399</v>
      </c>
      <c r="E1470" s="111" t="s">
        <v>38</v>
      </c>
      <c r="F1470" s="31" t="s">
        <v>335</v>
      </c>
      <c r="G1470" s="358" t="s">
        <v>2214</v>
      </c>
      <c r="H1470" s="58" t="str">
        <f>Table1[[#This Row],[Tabela]]&amp;Table1[[#This Row],[Campo]]</f>
        <v>lt003_entityenblng_capex_ce</v>
      </c>
      <c r="I1470" s="2" t="s">
        <v>2320</v>
      </c>
      <c r="J1470" s="44">
        <f>VLOOKUP(Table1[[#This Row],[Status]],Auxiliar!$B$16:$C$24,2,0)</f>
        <v>7</v>
      </c>
      <c r="K1470" s="20" t="s">
        <v>1173</v>
      </c>
      <c r="L1470" s="45" t="s">
        <v>1174</v>
      </c>
      <c r="M1470" s="20" t="s">
        <v>1175</v>
      </c>
      <c r="N1470" s="47">
        <v>45688</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0.25</v>
      </c>
      <c r="X1470" s="166">
        <f>+VLOOKUP(CONCATENATE(Table1[[#This Row],[Tabela]],Table1[[#This Row],[Campo]]),'2. Status Detalhe Campos FY24'!A:J,9,FALSE)</f>
        <v>0</v>
      </c>
    </row>
    <row r="1471" spans="2:24" ht="17.899999999999999" customHeight="1">
      <c r="B1471" s="38" t="s">
        <v>26</v>
      </c>
      <c r="C1471" s="38" t="s">
        <v>26</v>
      </c>
      <c r="D1471" s="19" t="s">
        <v>399</v>
      </c>
      <c r="E1471" s="111" t="s">
        <v>38</v>
      </c>
      <c r="F1471" s="31" t="s">
        <v>335</v>
      </c>
      <c r="G1471" s="358" t="s">
        <v>2215</v>
      </c>
      <c r="H1471" s="58" t="str">
        <f>Table1[[#This Row],[Tabela]]&amp;Table1[[#This Row],[Campo]]</f>
        <v>lt003_entityenblng_trnvr_ce</v>
      </c>
      <c r="I1471" s="2" t="s">
        <v>2320</v>
      </c>
      <c r="J1471" s="44">
        <f>VLOOKUP(Table1[[#This Row],[Status]],Auxiliar!$B$16:$C$24,2,0)</f>
        <v>7</v>
      </c>
      <c r="K1471" s="20" t="s">
        <v>1173</v>
      </c>
      <c r="L1471" s="45" t="s">
        <v>1174</v>
      </c>
      <c r="M1471" s="20" t="s">
        <v>1175</v>
      </c>
      <c r="N1471" s="47">
        <v>45688</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0.25</v>
      </c>
      <c r="X1471" s="166">
        <f>+VLOOKUP(CONCATENATE(Table1[[#This Row],[Tabela]],Table1[[#This Row],[Campo]]),'2. Status Detalhe Campos FY24'!A:J,9,FALSE)</f>
        <v>0</v>
      </c>
    </row>
    <row r="1472" spans="2:24" ht="17.899999999999999"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customHeight="1">
      <c r="B1481" s="38" t="s">
        <v>26</v>
      </c>
      <c r="C1481" s="38" t="s">
        <v>26</v>
      </c>
      <c r="D1481" s="40"/>
      <c r="E1481" s="46"/>
      <c r="F1481" s="42" t="s">
        <v>368</v>
      </c>
      <c r="G1481" s="360" t="s">
        <v>2247</v>
      </c>
      <c r="H1481" s="58" t="str">
        <f>Table1[[#This Row],[Tabela]]&amp;Table1[[#This Row],[Campo]]</f>
        <v>lt004_protectionTYP_EMSSNS_LBL</v>
      </c>
      <c r="I1481" s="2" t="s">
        <v>2320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customHeight="1">
      <c r="B1483" s="38" t="s">
        <v>26</v>
      </c>
      <c r="C1483" s="38" t="s">
        <v>26</v>
      </c>
      <c r="D1483" s="40"/>
      <c r="E1483" s="46"/>
      <c r="F1483" s="42" t="s">
        <v>368</v>
      </c>
      <c r="G1483" s="360" t="s">
        <v>2249</v>
      </c>
      <c r="H1483" s="58" t="str">
        <f>Table1[[#This Row],[Tabela]]&amp;Table1[[#This Row],[Campo]]</f>
        <v>lt004_protectionVHCL_EMSSNS_LBL</v>
      </c>
      <c r="I1483" s="2" t="s">
        <v>2320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customHeight="1">
      <c r="B1484" s="38" t="s">
        <v>26</v>
      </c>
      <c r="C1484" s="38" t="s">
        <v>26</v>
      </c>
      <c r="D1484" s="40"/>
      <c r="E1484" s="46"/>
      <c r="F1484" s="42" t="s">
        <v>368</v>
      </c>
      <c r="G1484" s="360" t="s">
        <v>2250</v>
      </c>
      <c r="H1484" s="58" t="str">
        <f>Table1[[#This Row],[Tabela]]&amp;Table1[[#This Row],[Campo]]</f>
        <v>lt004_protectionTYP_EMSSNS_SCR</v>
      </c>
      <c r="I1484" s="2" t="s">
        <v>614</v>
      </c>
      <c r="J1484" s="44">
        <f>VLOOKUP(Table1[[#This Row],[Status]],Auxiliar!$B$16:$C$24,2,0)</f>
        <v>5</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customHeight="1">
      <c r="B1485" s="38" t="s">
        <v>26</v>
      </c>
      <c r="C1485" s="38" t="s">
        <v>26</v>
      </c>
      <c r="D1485" s="40"/>
      <c r="E1485" s="46"/>
      <c r="F1485" s="42" t="s">
        <v>368</v>
      </c>
      <c r="G1485" s="360" t="s">
        <v>2251</v>
      </c>
      <c r="H1485" s="58" t="str">
        <f>Table1[[#This Row],[Tabela]]&amp;Table1[[#This Row],[Campo]]</f>
        <v>lt004_protectionEPC_EMSSNS_SCR</v>
      </c>
      <c r="I1485" s="2" t="s">
        <v>614</v>
      </c>
      <c r="J1485" s="44">
        <f>VLOOKUP(Table1[[#This Row],[Status]],Auxiliar!$B$16:$C$24,2,0)</f>
        <v>5</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customHeight="1">
      <c r="B1486" s="38" t="s">
        <v>26</v>
      </c>
      <c r="C1486" s="38" t="s">
        <v>26</v>
      </c>
      <c r="D1486" s="40"/>
      <c r="E1486" s="46"/>
      <c r="F1486" s="42" t="s">
        <v>368</v>
      </c>
      <c r="G1486" s="360" t="s">
        <v>2252</v>
      </c>
      <c r="H1486" s="58" t="str">
        <f>Table1[[#This Row],[Tabela]]&amp;Table1[[#This Row],[Campo]]</f>
        <v>lt004_protectionVHCL_EMSSNS_SCR</v>
      </c>
      <c r="I1486" s="2" t="s">
        <v>2320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customHeight="1">
      <c r="B1487" s="38" t="s">
        <v>26</v>
      </c>
      <c r="C1487" s="38" t="s">
        <v>26</v>
      </c>
      <c r="D1487" s="40"/>
      <c r="E1487" s="46"/>
      <c r="F1487" s="42" t="s">
        <v>368</v>
      </c>
      <c r="G1487" s="360" t="s">
        <v>2253</v>
      </c>
      <c r="H1487" s="58" t="str">
        <f>Table1[[#This Row],[Tabela]]&amp;Table1[[#This Row],[Campo]]</f>
        <v>lt004_protectionINSRNC_ID</v>
      </c>
      <c r="I1487" s="2" t="s">
        <v>2320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customHeight="1">
      <c r="B1488" s="38" t="s">
        <v>26</v>
      </c>
      <c r="C1488" s="38" t="s">
        <v>26</v>
      </c>
      <c r="D1488" s="40"/>
      <c r="E1488" s="46"/>
      <c r="F1488" s="42" t="s">
        <v>368</v>
      </c>
      <c r="G1488" s="360" t="s">
        <v>2254</v>
      </c>
      <c r="H1488" s="58" t="str">
        <f>Table1[[#This Row],[Tabela]]&amp;Table1[[#This Row],[Campo]]</f>
        <v>lt004_protectionTYP_HZRDS_INSRD</v>
      </c>
      <c r="I1488" s="2" t="s">
        <v>2320</v>
      </c>
      <c r="J1488" s="44">
        <f>VLOOKUP(Table1[[#This Row],[Status]],Auxiliar!$B$16:$C$24,2,0)</f>
        <v>7</v>
      </c>
      <c r="K1488" s="45"/>
      <c r="L1488" s="45"/>
      <c r="M1488" s="20"/>
      <c r="N1488" s="47">
        <v>45695</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customHeight="1">
      <c r="B1489" s="38" t="s">
        <v>26</v>
      </c>
      <c r="C1489" s="38" t="s">
        <v>26</v>
      </c>
      <c r="D1489" s="40"/>
      <c r="E1489" s="46"/>
      <c r="F1489" s="42" t="s">
        <v>368</v>
      </c>
      <c r="G1489" s="360" t="s">
        <v>2255</v>
      </c>
      <c r="H1489" s="58" t="str">
        <f>Table1[[#This Row],[Tabela]]&amp;Table1[[#This Row],[Campo]]</f>
        <v>lt004_protectionAMNT_CVRD_INSRNC</v>
      </c>
      <c r="I1489" s="2" t="s">
        <v>2320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customHeight="1">
      <c r="B1490" s="38" t="s">
        <v>26</v>
      </c>
      <c r="C1490" s="38" t="s">
        <v>26</v>
      </c>
      <c r="D1490" s="40"/>
      <c r="E1490" s="46"/>
      <c r="F1490" s="42" t="s">
        <v>368</v>
      </c>
      <c r="G1490" s="360" t="s">
        <v>2256</v>
      </c>
      <c r="H1490" s="58" t="str">
        <f>Table1[[#This Row],[Tabela]]&amp;Table1[[#This Row],[Campo]]</f>
        <v>lt004_protectionDT_MTRTY_INSRNC</v>
      </c>
      <c r="I1490" s="2" t="s">
        <v>2320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customHeight="1">
      <c r="B1491" s="38" t="s">
        <v>26</v>
      </c>
      <c r="C1491" s="38" t="s">
        <v>26</v>
      </c>
      <c r="D1491" s="40"/>
      <c r="E1491" s="46"/>
      <c r="F1491" s="42" t="s">
        <v>368</v>
      </c>
      <c r="G1491" s="360" t="s">
        <v>2257</v>
      </c>
      <c r="H1491" s="58" t="str">
        <f>Table1[[#This Row],[Tabela]]&amp;Table1[[#This Row],[Campo]]</f>
        <v>lt004_protectionFLG_FRST_HM</v>
      </c>
      <c r="I1491" s="2" t="s">
        <v>2320</v>
      </c>
      <c r="J1491" s="44">
        <f>VLOOKUP(Table1[[#This Row],[Status]],Auxiliar!$B$16:$C$24,2,0)</f>
        <v>7</v>
      </c>
      <c r="K1491" s="45"/>
      <c r="L1491" s="45"/>
      <c r="M1491" s="20"/>
      <c r="N1491" s="47">
        <v>45695</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customHeight="1">
      <c r="B1494" s="38" t="s">
        <v>26</v>
      </c>
      <c r="C1494" s="38" t="s">
        <v>26</v>
      </c>
      <c r="D1494" s="40"/>
      <c r="E1494" s="46"/>
      <c r="F1494" s="42" t="s">
        <v>368</v>
      </c>
      <c r="G1494" s="360" t="s">
        <v>2260</v>
      </c>
      <c r="H1494" s="58" t="str">
        <f>Table1[[#This Row],[Tabela]]&amp;Table1[[#This Row],[Campo]]</f>
        <v>lt004_protectionRL_ESTT_CRTFCTN</v>
      </c>
      <c r="I1494" s="2" t="s">
        <v>2320</v>
      </c>
      <c r="J1494" s="44">
        <f>VLOOKUP(Table1[[#This Row],[Status]],Auxiliar!$B$16:$C$24,2,0)</f>
        <v>7</v>
      </c>
      <c r="K1494" s="45"/>
      <c r="L1494" s="45"/>
      <c r="M1494" s="20"/>
      <c r="N1494" s="47">
        <v>45695</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customHeight="1">
      <c r="B1496" s="38" t="s">
        <v>26</v>
      </c>
      <c r="C1496" s="38" t="s">
        <v>26</v>
      </c>
      <c r="D1496" s="40"/>
      <c r="E1496" s="46"/>
      <c r="F1496" s="42" t="s">
        <v>368</v>
      </c>
      <c r="G1496" s="360" t="s">
        <v>2262</v>
      </c>
      <c r="H1496" s="58" t="str">
        <f>Table1[[#This Row],[Tabela]]&amp;Table1[[#This Row],[Campo]]</f>
        <v>lt004_protectionDT_RGSTRTN</v>
      </c>
      <c r="I1496" s="2" t="s">
        <v>2320</v>
      </c>
      <c r="J1496" s="44">
        <f>VLOOKUP(Table1[[#This Row],[Status]],Auxiliar!$B$16:$C$24,2,0)</f>
        <v>7</v>
      </c>
      <c r="K1496" s="45"/>
      <c r="L1496" s="45"/>
      <c r="M1496" s="20"/>
      <c r="N1496" s="47">
        <v>45695</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customHeight="1">
      <c r="B1497" s="38" t="s">
        <v>26</v>
      </c>
      <c r="C1497" s="38" t="s">
        <v>26</v>
      </c>
      <c r="D1497" s="40"/>
      <c r="E1497" s="46"/>
      <c r="F1497" s="42" t="s">
        <v>368</v>
      </c>
      <c r="G1497" s="360" t="s">
        <v>2263</v>
      </c>
      <c r="H1497" s="58" t="str">
        <f>Table1[[#This Row],[Tabela]]&amp;Table1[[#This Row],[Campo]]</f>
        <v>lt004_protectionPRMRY_ENRGY_DMND_NN_RNWBL</v>
      </c>
      <c r="I1497" s="2" t="s">
        <v>2320</v>
      </c>
      <c r="J1497" s="44">
        <f>VLOOKUP(Table1[[#This Row],[Status]],Auxiliar!$B$16:$C$24,2,0)</f>
        <v>7</v>
      </c>
      <c r="K1497" s="45"/>
      <c r="L1497" s="45"/>
      <c r="M1497" s="20"/>
      <c r="N1497" s="47">
        <v>45695</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customHeight="1">
      <c r="B1499" s="38" t="s">
        <v>26</v>
      </c>
      <c r="C1499" s="38" t="s">
        <v>26</v>
      </c>
      <c r="D1499" s="40"/>
      <c r="E1499" s="46"/>
      <c r="F1499" s="42" t="s">
        <v>368</v>
      </c>
      <c r="G1499" s="494"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customHeight="1">
      <c r="B1511" s="38" t="s">
        <v>26</v>
      </c>
      <c r="C1511" s="38" t="s">
        <v>26</v>
      </c>
      <c r="D1511" s="19" t="s">
        <v>399</v>
      </c>
      <c r="E1511" s="111" t="s">
        <v>38</v>
      </c>
      <c r="F1511" s="2" t="s">
        <v>441</v>
      </c>
      <c r="G1511" s="12" t="s">
        <v>442</v>
      </c>
      <c r="H1511" s="58" t="str">
        <f>Table1[[#This Row],[Tabela]]&amp;Table1[[#This Row],[Campo]]</f>
        <v>lt006_instr_protprtctn_allctd_vl</v>
      </c>
      <c r="I1511" s="2" t="s">
        <v>2320</v>
      </c>
      <c r="J1511" s="44">
        <f>VLOOKUP(Table1[[#This Row],[Status]],Auxiliar!$B$16:$C$24,2,0)</f>
        <v>7</v>
      </c>
      <c r="K1511" s="20" t="s">
        <v>1173</v>
      </c>
      <c r="L1511" s="45" t="s">
        <v>1174</v>
      </c>
      <c r="M1511" s="20" t="s">
        <v>1175</v>
      </c>
      <c r="N1511" s="47">
        <v>45329</v>
      </c>
      <c r="O1511" s="112">
        <v>0.1</v>
      </c>
      <c r="P1511" s="2"/>
      <c r="Q1511" s="199"/>
      <c r="R1511" s="151"/>
      <c r="S1511" s="151"/>
      <c r="T1511" s="151"/>
      <c r="U1511" s="151"/>
      <c r="V1511" s="151"/>
      <c r="W1511" s="2">
        <f>VLOOKUP(Table1[[#This Row],[Status]],Auxiliar!$B$16:$D$24,3,0)*Table1[[#This Row],[Estimação (horas)]]</f>
        <v>2.5000000000000001E-2</v>
      </c>
      <c r="X1511" s="166">
        <f>+VLOOKUP(CONCATENATE(Table1[[#This Row],[Tabela]],Table1[[#This Row],[Campo]]),'2. Status Detalhe Campos FY24'!A:J,9,FALSE)</f>
        <v>0</v>
      </c>
    </row>
    <row r="1512" spans="2:24" ht="17.899999999999999"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8983D8D5-C2D6-4B72-B323-1B9C72824199}">
            <xm:f>NOT(ISERROR(SEARCH(Auxiliar!$B$21,I10)))</xm:f>
            <xm:f>Auxiliar!$B$21</xm:f>
            <x14:dxf>
              <font>
                <b/>
                <i val="0"/>
                <color rgb="FFFFC000"/>
              </font>
              <fill>
                <patternFill>
                  <bgColor theme="9" tint="0.59996337778862885"/>
                </patternFill>
              </fill>
            </x14:dxf>
          </x14:cfRule>
          <x14:cfRule type="cellIs" priority="80" operator="equal" id="{851F9D3C-DE91-4C20-A255-DBA976D47256}">
            <xm:f>Auxiliar!$B$24</xm:f>
            <x14:dxf>
              <font>
                <b/>
                <i val="0"/>
                <color theme="1"/>
              </font>
              <fill>
                <patternFill patternType="darkUp">
                  <bgColor theme="0"/>
                </patternFill>
              </fill>
            </x14:dxf>
          </x14:cfRule>
          <x14:cfRule type="cellIs" priority="81" operator="equal" id="{AEB76678-92B6-4E42-BA0D-898B2AB889D7}">
            <xm:f>Auxiliar!$B$18</xm:f>
            <x14:dxf>
              <font>
                <b/>
                <i val="0"/>
                <color theme="0" tint="-0.499984740745262"/>
              </font>
              <fill>
                <patternFill>
                  <bgColor theme="0" tint="-4.9989318521683403E-2"/>
                </patternFill>
              </fill>
            </x14:dxf>
          </x14:cfRule>
          <x14:cfRule type="containsText" priority="8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8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84"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61" operator="containsText" id="{F0FC3167-D078-4732-B252-F6CF35A33118}">
            <xm:f>NOT(ISERROR(SEARCH(Auxiliar!$B$21,I193)))</xm:f>
            <xm:f>Auxiliar!$B$21</xm:f>
            <x14:dxf>
              <font>
                <b/>
                <i val="0"/>
                <color rgb="FFFFC000"/>
              </font>
              <fill>
                <patternFill>
                  <bgColor theme="9" tint="0.59996337778862885"/>
                </patternFill>
              </fill>
            </x14:dxf>
          </x14:cfRule>
          <x14:cfRule type="cellIs" priority="362" operator="equal" id="{0DF84132-7044-4342-A136-5BB25A806900}">
            <xm:f>Auxiliar!$B$24</xm:f>
            <x14:dxf>
              <font>
                <b/>
                <i val="0"/>
                <color theme="1"/>
              </font>
              <fill>
                <patternFill patternType="darkUp">
                  <bgColor theme="0"/>
                </patternFill>
              </fill>
            </x14:dxf>
          </x14:cfRule>
          <x14:cfRule type="cellIs" priority="363" operator="equal" id="{0AA668F3-08F2-48AD-824F-FDAAFE4C3390}">
            <xm:f>Auxiliar!$B$18</xm:f>
            <x14:dxf>
              <font>
                <b/>
                <i val="0"/>
                <color theme="0" tint="-0.499984740745262"/>
              </font>
              <fill>
                <patternFill>
                  <bgColor theme="0" tint="-4.9989318521683403E-2"/>
                </patternFill>
              </fill>
            </x14:dxf>
          </x14:cfRule>
          <x14:cfRule type="containsText" priority="36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6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6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85" operator="containsText" id="{680189A3-E553-4E28-88AF-4BE37876E399}">
            <xm:f>NOT(ISERROR(SEARCH(Auxiliar!$B$21,I224)))</xm:f>
            <xm:f>Auxiliar!$B$21</xm:f>
            <x14:dxf>
              <font>
                <b/>
                <i val="0"/>
                <color rgb="FFFFC000"/>
              </font>
              <fill>
                <patternFill>
                  <bgColor theme="9" tint="0.59996337778862885"/>
                </patternFill>
              </fill>
            </x14:dxf>
          </x14:cfRule>
          <x14:cfRule type="cellIs" priority="86" operator="equal" id="{837D1480-3614-407B-A9D1-E2F5BA61EA3D}">
            <xm:f>Auxiliar!$B$24</xm:f>
            <x14:dxf>
              <font>
                <b/>
                <i val="0"/>
                <color theme="1"/>
              </font>
              <fill>
                <patternFill patternType="darkUp">
                  <bgColor theme="0"/>
                </patternFill>
              </fill>
            </x14:dxf>
          </x14:cfRule>
          <x14:cfRule type="cellIs" priority="87" operator="equal" id="{782D49B3-623A-4DF5-8308-75A6F81A19FD}">
            <xm:f>Auxiliar!$B$18</xm:f>
            <x14:dxf>
              <font>
                <b/>
                <i val="0"/>
                <color theme="0" tint="-0.499984740745262"/>
              </font>
              <fill>
                <patternFill>
                  <bgColor theme="0" tint="-4.9989318521683403E-2"/>
                </patternFill>
              </fill>
            </x14:dxf>
          </x14:cfRule>
          <x14:cfRule type="containsText" priority="8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8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90" operator="containsText" id="{26A20443-BC57-4315-9725-5F704346CF3C}">
            <xm:f>NOT(ISERROR(SEARCH(Auxiliar!$B$16,I224)))</xm:f>
            <xm:f>Auxiliar!$B$16</xm:f>
            <x14:dxf>
              <font>
                <b/>
                <i val="0"/>
                <color theme="7"/>
              </font>
              <fill>
                <patternFill>
                  <bgColor theme="7" tint="0.79998168889431442"/>
                </patternFill>
              </fill>
            </x14:dxf>
          </x14:cfRule>
          <xm:sqref>I224:I226 I291:I293 I318:I320 I245:I247 I663:I685</xm:sqref>
        </x14:conditionalFormatting>
        <x14:conditionalFormatting xmlns:xm="http://schemas.microsoft.com/office/excel/2006/main">
          <x14:cfRule type="containsText" priority="67" operator="containsText" id="{BA88C474-7CD5-48E4-BBD7-168BDC558FC6}">
            <xm:f>NOT(ISERROR(SEARCH(Auxiliar!$B$21,I393)))</xm:f>
            <xm:f>Auxiliar!$B$21</xm:f>
            <x14:dxf>
              <font>
                <b/>
                <i val="0"/>
                <color rgb="FFFFC000"/>
              </font>
              <fill>
                <patternFill>
                  <bgColor theme="9" tint="0.59996337778862885"/>
                </patternFill>
              </fill>
            </x14:dxf>
          </x14:cfRule>
          <x14:cfRule type="cellIs" priority="68" operator="equal" id="{09D83F8A-0668-4607-A721-73C22171BC18}">
            <xm:f>Auxiliar!$B$24</xm:f>
            <x14:dxf>
              <font>
                <b/>
                <i val="0"/>
                <color theme="1"/>
              </font>
              <fill>
                <patternFill patternType="darkUp">
                  <bgColor theme="0"/>
                </patternFill>
              </fill>
            </x14:dxf>
          </x14:cfRule>
          <x14:cfRule type="cellIs" priority="69" operator="equal" id="{630BCF05-930B-451C-86BD-163F900C7CF1}">
            <xm:f>Auxiliar!$B$18</xm:f>
            <x14:dxf>
              <font>
                <b/>
                <i val="0"/>
                <color theme="0" tint="-0.499984740745262"/>
              </font>
              <fill>
                <patternFill>
                  <bgColor theme="0" tint="-4.9989318521683403E-2"/>
                </patternFill>
              </fill>
            </x14:dxf>
          </x14:cfRule>
          <x14:cfRule type="containsText" priority="70"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71"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72"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25" operator="containsText" id="{F37540B4-F195-417D-8B16-937C79358CD4}">
            <xm:f>NOT(ISERROR(SEARCH(Auxiliar!$B$21,I802)))</xm:f>
            <xm:f>Auxiliar!$B$21</xm:f>
            <x14:dxf>
              <font>
                <b/>
                <i val="0"/>
                <color rgb="FFFFC000"/>
              </font>
              <fill>
                <patternFill>
                  <bgColor theme="9" tint="0.59996337778862885"/>
                </patternFill>
              </fill>
            </x14:dxf>
          </x14:cfRule>
          <x14:cfRule type="cellIs" priority="26" operator="equal" id="{CFAA4FF6-8EEE-4092-88A7-C231D2EF2BB4}">
            <xm:f>Auxiliar!$B$24</xm:f>
            <x14:dxf>
              <font>
                <b/>
                <i val="0"/>
                <color theme="1"/>
              </font>
              <fill>
                <patternFill patternType="darkUp">
                  <bgColor theme="0"/>
                </patternFill>
              </fill>
            </x14:dxf>
          </x14:cfRule>
          <x14:cfRule type="cellIs" priority="27" operator="equal" id="{7A0F1BFC-7107-4EA5-AA94-1C72B2105371}">
            <xm:f>Auxiliar!$B$18</xm:f>
            <x14:dxf>
              <font>
                <b/>
                <i val="0"/>
                <color theme="0" tint="-0.499984740745262"/>
              </font>
              <fill>
                <patternFill>
                  <bgColor theme="0" tint="-4.9989318521683403E-2"/>
                </patternFill>
              </fill>
            </x14:dxf>
          </x14:cfRule>
          <x14:cfRule type="containsText" priority="28"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29"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30"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21" operator="containsText" id="{6DE85724-2EE4-4C5C-BFE4-5CDF139191EE}">
            <xm:f>NOT(ISERROR(SEARCH(Auxiliar!$B$21,I1149)))</xm:f>
            <xm:f>Auxiliar!$B$21</xm:f>
            <x14:dxf>
              <font>
                <b/>
                <i val="0"/>
                <color rgb="FFFFC000"/>
              </font>
              <fill>
                <patternFill>
                  <bgColor theme="9" tint="0.59996337778862885"/>
                </patternFill>
              </fill>
            </x14:dxf>
          </x14:cfRule>
          <x14:cfRule type="cellIs" priority="122" operator="equal" id="{108BBB59-B3A9-4718-AE41-245162C547B8}">
            <xm:f>Auxiliar!$B$24</xm:f>
            <x14:dxf>
              <font>
                <b/>
                <i val="0"/>
                <color theme="1"/>
              </font>
              <fill>
                <patternFill patternType="darkUp">
                  <bgColor theme="0"/>
                </patternFill>
              </fill>
            </x14:dxf>
          </x14:cfRule>
          <x14:cfRule type="cellIs" priority="123" operator="equal" id="{9568F5E2-6C96-435A-A8A4-37A212A788A8}">
            <xm:f>Auxiliar!$B$18</xm:f>
            <x14:dxf>
              <font>
                <b/>
                <i val="0"/>
                <color theme="0" tint="-0.499984740745262"/>
              </font>
              <fill>
                <patternFill>
                  <bgColor theme="0" tint="-4.9989318521683403E-2"/>
                </patternFill>
              </fill>
            </x14:dxf>
          </x14:cfRule>
          <x14:cfRule type="containsText" priority="124"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25"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26"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49" operator="containsText" id="{2B892DA0-DAF7-421F-B66B-0FB6F4150541}">
            <xm:f>NOT(ISERROR(SEARCH(Auxiliar!$B$21,I1305)))</xm:f>
            <xm:f>Auxiliar!$B$21</xm:f>
            <x14:dxf>
              <font>
                <b/>
                <i val="0"/>
                <color rgb="FFFFC000"/>
              </font>
              <fill>
                <patternFill>
                  <bgColor theme="9" tint="0.59996337778862885"/>
                </patternFill>
              </fill>
            </x14:dxf>
          </x14:cfRule>
          <x14:cfRule type="cellIs" priority="50" operator="equal" id="{6F6FE95C-2911-46F9-A476-E59F486686B1}">
            <xm:f>Auxiliar!$B$24</xm:f>
            <x14:dxf>
              <font>
                <b/>
                <i val="0"/>
                <color theme="1"/>
              </font>
              <fill>
                <patternFill patternType="darkUp">
                  <bgColor theme="0"/>
                </patternFill>
              </fill>
            </x14:dxf>
          </x14:cfRule>
          <x14:cfRule type="cellIs" priority="51" operator="equal" id="{33721898-A6FE-4D41-9A0F-2B8F543A091F}">
            <xm:f>Auxiliar!$B$18</xm:f>
            <x14:dxf>
              <font>
                <b/>
                <i val="0"/>
                <color theme="0" tint="-0.499984740745262"/>
              </font>
              <fill>
                <patternFill>
                  <bgColor theme="0" tint="-4.9989318521683403E-2"/>
                </patternFill>
              </fill>
            </x14:dxf>
          </x14:cfRule>
          <x14:cfRule type="containsText" priority="52"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53"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54"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895"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I1405:J1432 J1433:J1435 I1436:J1472 J1473:J1502 I1503:J1510 J1511 I1290:J1304 I1333:J1333 I824:J1148 I419:J662 I686:J691 I698:J706 J692:J697 I713:J801 J707:J712</xm:sqref>
        </x14:conditionalFormatting>
        <x14:conditionalFormatting xmlns:xm="http://schemas.microsoft.com/office/excel/2006/main">
          <x14:cfRule type="containsText" priority="337" operator="containsText" id="{818B4E3F-A611-4A6A-A815-B804D1E3C747}">
            <xm:f>NOT(ISERROR(SEARCH(Auxiliar!$B$21,I1334)))</xm:f>
            <xm:f>Auxiliar!$B$21</xm:f>
            <x14:dxf>
              <font>
                <b/>
                <i val="0"/>
                <color rgb="FFFFC000"/>
              </font>
              <fill>
                <patternFill>
                  <bgColor theme="9" tint="0.59996337778862885"/>
                </patternFill>
              </fill>
            </x14:dxf>
          </x14:cfRule>
          <x14:cfRule type="cellIs" priority="338" operator="equal" id="{49F42230-2FF0-42CE-B047-38469DF4FF91}">
            <xm:f>Auxiliar!$B$24</xm:f>
            <x14:dxf>
              <font>
                <b/>
                <i val="0"/>
                <color theme="1"/>
              </font>
              <fill>
                <patternFill patternType="darkUp">
                  <bgColor theme="0"/>
                </patternFill>
              </fill>
            </x14:dxf>
          </x14:cfRule>
          <x14:cfRule type="cellIs" priority="339" operator="equal" id="{340814F4-4DC4-4851-925E-2EA110D79ECA}">
            <xm:f>Auxiliar!$B$18</xm:f>
            <x14:dxf>
              <font>
                <b/>
                <i val="0"/>
                <color theme="0" tint="-0.499984740745262"/>
              </font>
              <fill>
                <patternFill>
                  <bgColor theme="0" tint="-4.9989318521683403E-2"/>
                </patternFill>
              </fill>
            </x14:dxf>
          </x14:cfRule>
          <x14:cfRule type="containsText" priority="340"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41"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42"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91" operator="containsText" id="{780D834D-C977-4B94-81EF-A8A47D289907}">
            <xm:f>NOT(ISERROR(SEARCH(Auxiliar!$B$21,I1433)))</xm:f>
            <xm:f>Auxiliar!$B$21</xm:f>
            <x14:dxf>
              <font>
                <b/>
                <i val="0"/>
                <color rgb="FFFFC000"/>
              </font>
              <fill>
                <patternFill>
                  <bgColor theme="9" tint="0.59996337778862885"/>
                </patternFill>
              </fill>
            </x14:dxf>
          </x14:cfRule>
          <x14:cfRule type="cellIs" priority="92" operator="equal" id="{A6EB2312-FB92-41F7-9CCA-3B81CF6C2FD3}">
            <xm:f>Auxiliar!$B$24</xm:f>
            <x14:dxf>
              <font>
                <b/>
                <i val="0"/>
                <color theme="1"/>
              </font>
              <fill>
                <patternFill patternType="darkUp">
                  <bgColor theme="0"/>
                </patternFill>
              </fill>
            </x14:dxf>
          </x14:cfRule>
          <x14:cfRule type="cellIs" priority="93" operator="equal" id="{BB030E3C-F572-4B6B-8325-D47BA2E295D4}">
            <xm:f>Auxiliar!$B$18</xm:f>
            <x14:dxf>
              <font>
                <b/>
                <i val="0"/>
                <color theme="0" tint="-0.499984740745262"/>
              </font>
              <fill>
                <patternFill>
                  <bgColor theme="0" tint="-4.9989318521683403E-2"/>
                </patternFill>
              </fill>
            </x14:dxf>
          </x14:cfRule>
          <x14:cfRule type="containsText" priority="94"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95"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96"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31" operator="containsText" id="{6DA62849-05D4-40B1-87CE-BD01F462C809}">
            <xm:f>NOT(ISERROR(SEARCH(Auxiliar!$B$21,I1473)))</xm:f>
            <xm:f>Auxiliar!$B$21</xm:f>
            <x14:dxf>
              <font>
                <b/>
                <i val="0"/>
                <color rgb="FFFFC000"/>
              </font>
              <fill>
                <patternFill>
                  <bgColor theme="9" tint="0.59996337778862885"/>
                </patternFill>
              </fill>
            </x14:dxf>
          </x14:cfRule>
          <x14:cfRule type="cellIs" priority="32" operator="equal" id="{1E79D505-B910-4D78-97DA-7353733B54BB}">
            <xm:f>Auxiliar!$B$24</xm:f>
            <x14:dxf>
              <font>
                <b/>
                <i val="0"/>
                <color theme="1"/>
              </font>
              <fill>
                <patternFill patternType="darkUp">
                  <bgColor theme="0"/>
                </patternFill>
              </fill>
            </x14:dxf>
          </x14:cfRule>
          <x14:cfRule type="cellIs" priority="33" operator="equal" id="{00DE0B36-B6EA-4EC5-9098-B394F10BE65F}">
            <xm:f>Auxiliar!$B$18</xm:f>
            <x14:dxf>
              <font>
                <b/>
                <i val="0"/>
                <color theme="0" tint="-0.499984740745262"/>
              </font>
              <fill>
                <patternFill>
                  <bgColor theme="0" tint="-4.9989318521683403E-2"/>
                </patternFill>
              </fill>
            </x14:dxf>
          </x14:cfRule>
          <x14:cfRule type="containsText" priority="34"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35"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36" operator="containsText" id="{F5F0373A-93E7-41AB-B49D-1026D0BC279A}">
            <xm:f>NOT(ISERROR(SEARCH(Auxiliar!$B$16,I1473)))</xm:f>
            <xm:f>Auxiliar!$B$16</xm:f>
            <x14:dxf>
              <font>
                <b/>
                <i val="0"/>
                <color theme="7"/>
              </font>
              <fill>
                <patternFill>
                  <bgColor theme="7" tint="0.79998168889431442"/>
                </patternFill>
              </fill>
            </x14:dxf>
          </x14:cfRule>
          <xm:sqref>I1473:I1502</xm:sqref>
        </x14:conditionalFormatting>
        <x14:conditionalFormatting xmlns:xm="http://schemas.microsoft.com/office/excel/2006/main">
          <x14:cfRule type="containsText" priority="109" operator="containsText" id="{910038CB-D1D6-461C-9800-1C7E617EFE24}">
            <xm:f>NOT(ISERROR(SEARCH(Auxiliar!$B$21,I1511)))</xm:f>
            <xm:f>Auxiliar!$B$21</xm:f>
            <x14:dxf>
              <font>
                <b/>
                <i val="0"/>
                <color rgb="FFFFC000"/>
              </font>
              <fill>
                <patternFill>
                  <bgColor theme="9" tint="0.59996337778862885"/>
                </patternFill>
              </fill>
            </x14:dxf>
          </x14:cfRule>
          <x14:cfRule type="cellIs" priority="110" operator="equal" id="{25D71A38-C4F5-4732-B7AB-6520ECA4FB07}">
            <xm:f>Auxiliar!$B$24</xm:f>
            <x14:dxf>
              <font>
                <b/>
                <i val="0"/>
                <color theme="1"/>
              </font>
              <fill>
                <patternFill patternType="darkUp">
                  <bgColor theme="0"/>
                </patternFill>
              </fill>
            </x14:dxf>
          </x14:cfRule>
          <x14:cfRule type="cellIs" priority="111" operator="equal" id="{8B1AAD81-3C08-40FA-906E-0B19D6772275}">
            <xm:f>Auxiliar!$B$18</xm:f>
            <x14:dxf>
              <font>
                <b/>
                <i val="0"/>
                <color theme="0" tint="-0.499984740745262"/>
              </font>
              <fill>
                <patternFill>
                  <bgColor theme="0" tint="-4.9989318521683403E-2"/>
                </patternFill>
              </fill>
            </x14:dxf>
          </x14:cfRule>
          <x14:cfRule type="containsText" priority="112"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13"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14"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69"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45" operator="containsText" id="{22EE3303-E871-4FDC-B876-3AC40B4BB29E}">
            <xm:f>NOT(ISERROR(SEARCH(Auxiliar!$B$21,I9)))</xm:f>
            <xm:f>Auxiliar!$B$21</xm:f>
            <x14:dxf>
              <font>
                <b/>
                <i val="0"/>
                <color rgb="FFFFC000"/>
              </font>
              <fill>
                <patternFill>
                  <bgColor theme="9" tint="0.59996337778862885"/>
                </patternFill>
              </fill>
            </x14:dxf>
          </x14:cfRule>
          <x14:cfRule type="cellIs" priority="746" operator="equal" id="{A75C795E-F66D-4DC2-A9AF-15BDCED7DA25}">
            <xm:f>Auxiliar!$B$24</xm:f>
            <x14:dxf>
              <font>
                <b/>
                <i val="0"/>
                <color theme="1"/>
              </font>
              <fill>
                <patternFill patternType="darkUp">
                  <bgColor theme="0"/>
                </patternFill>
              </fill>
            </x14:dxf>
          </x14:cfRule>
          <x14:cfRule type="cellIs" priority="747" operator="equal" id="{68C7A1CE-73C7-4D91-A2AC-1493C4E277DD}">
            <xm:f>Auxiliar!$B$18</xm:f>
            <x14:dxf>
              <font>
                <b/>
                <i val="0"/>
                <color theme="0" tint="-0.499984740745262"/>
              </font>
              <fill>
                <patternFill>
                  <bgColor theme="0" tint="-4.9989318521683403E-2"/>
                </patternFill>
              </fill>
            </x14:dxf>
          </x14:cfRule>
          <x14:cfRule type="containsText" priority="74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4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50"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29" operator="containsText" id="{6928D489-0130-4A60-BE2B-1D9108B02454}">
            <xm:f>NOT(ISERROR(SEARCH(Auxiliar!$B$21,I196)))</xm:f>
            <xm:f>Auxiliar!$B$21</xm:f>
            <x14:dxf>
              <font>
                <b/>
                <i val="0"/>
                <color rgb="FFFFC000"/>
              </font>
              <fill>
                <patternFill>
                  <bgColor theme="9" tint="0.59996337778862885"/>
                </patternFill>
              </fill>
            </x14:dxf>
          </x14:cfRule>
          <x14:cfRule type="cellIs" priority="830" operator="equal" id="{E2F14AF0-878C-4184-86EE-1EC72D11FF82}">
            <xm:f>Auxiliar!$B$24</xm:f>
            <x14:dxf>
              <font>
                <b/>
                <i val="0"/>
                <color theme="1"/>
              </font>
              <fill>
                <patternFill patternType="darkUp">
                  <bgColor theme="0"/>
                </patternFill>
              </fill>
            </x14:dxf>
          </x14:cfRule>
          <x14:cfRule type="cellIs" priority="831" operator="equal" id="{662C2D77-73A6-422E-B043-D39190EAAFD3}">
            <xm:f>Auxiliar!$B$18</xm:f>
            <x14:dxf>
              <font>
                <b/>
                <i val="0"/>
                <color theme="0" tint="-0.499984740745262"/>
              </font>
              <fill>
                <patternFill>
                  <bgColor theme="0" tint="-4.9989318521683403E-2"/>
                </patternFill>
              </fill>
            </x14:dxf>
          </x14:cfRule>
          <x14:cfRule type="containsText" priority="83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3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34"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896" operator="equal" id="{461BEC2A-3AB6-4974-9160-0CC657CD83C0}">
            <xm:f>Auxiliar!$B$24</xm:f>
            <x14:dxf>
              <font>
                <b/>
                <i val="0"/>
                <color theme="1"/>
              </font>
              <fill>
                <patternFill patternType="darkUp">
                  <bgColor theme="0"/>
                </patternFill>
              </fill>
            </x14:dxf>
          </x14:cfRule>
          <x14:cfRule type="cellIs" priority="1363" operator="equal" id="{5CC18A3F-CC0C-4983-A19C-E91C49A3DB8A}">
            <xm:f>Auxiliar!$B$18</xm:f>
            <x14:dxf>
              <font>
                <b/>
                <i val="0"/>
                <color theme="0" tint="-0.499984740745262"/>
              </font>
              <fill>
                <patternFill>
                  <bgColor theme="0" tint="-4.9989318521683403E-2"/>
                </patternFill>
              </fill>
            </x14:dxf>
          </x14:cfRule>
          <x14:cfRule type="containsText" priority="1364"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65"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66"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I1405:J1432 J1433:J1435 I1436:J1472 J1473:J1502 I1503:J1510 J1511 I1532 I1290:J1304 I1333:J1333 I824:J1148 I419:J662 I686:J691 I698:J706 J692:J697 I713:J801 J707:J712</xm:sqref>
        </x14:conditionalFormatting>
        <x14:conditionalFormatting xmlns:xm="http://schemas.microsoft.com/office/excel/2006/main">
          <x14:cfRule type="cellIs" priority="116" operator="equal" id="{CCD751C7-B7A2-4F98-8B22-D6FDAB936BE9}">
            <xm:f>Auxiliar!$B$24</xm:f>
            <x14:dxf>
              <font>
                <b/>
                <i val="0"/>
                <color theme="1"/>
              </font>
              <fill>
                <patternFill patternType="darkUp">
                  <bgColor theme="0"/>
                </patternFill>
              </fill>
            </x14:dxf>
          </x14:cfRule>
          <x14:cfRule type="cellIs" priority="117" operator="equal" id="{4D1BE949-1D0D-486A-8EBA-CAC34A73CAEF}">
            <xm:f>Auxiliar!$B$18</xm:f>
            <x14:dxf>
              <font>
                <b/>
                <i val="0"/>
                <color theme="0" tint="-0.499984740745262"/>
              </font>
              <fill>
                <patternFill>
                  <bgColor theme="0" tint="-4.9989318521683403E-2"/>
                </patternFill>
              </fill>
            </x14:dxf>
          </x14:cfRule>
          <x14:cfRule type="containsText" priority="118"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19"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20"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15"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70" operator="equal" id="{76582525-4532-4825-BBF1-E67A9D75C9D5}">
            <xm:f>Auxiliar!$B$24</xm:f>
            <x14:dxf>
              <font>
                <b/>
                <i val="0"/>
                <color theme="1"/>
              </font>
              <fill>
                <patternFill patternType="darkUp">
                  <bgColor theme="0"/>
                </patternFill>
              </fill>
            </x14:dxf>
          </x14:cfRule>
          <x14:cfRule type="cellIs" priority="171" operator="equal" id="{93C49E19-F144-4F91-BF43-40521F41D17C}">
            <xm:f>Auxiliar!$B$18</xm:f>
            <x14:dxf>
              <font>
                <b/>
                <i val="0"/>
                <color theme="0" tint="-0.499984740745262"/>
              </font>
              <fill>
                <patternFill>
                  <bgColor theme="0" tint="-4.9989318521683403E-2"/>
                </patternFill>
              </fill>
            </x14:dxf>
          </x14:cfRule>
          <x14:cfRule type="containsText" priority="172"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73"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74"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21" operator="containsText" id="{B9BA2292-98F1-4845-8262-A781D9352444}">
            <xm:f>NOT(ISERROR(SEARCH(Auxiliar!$B$21,J193)))</xm:f>
            <xm:f>Auxiliar!$B$21</xm:f>
            <x14:dxf>
              <font>
                <b/>
                <i val="0"/>
                <color rgb="FFFFC000"/>
              </font>
              <fill>
                <patternFill>
                  <bgColor theme="9" tint="0.59996337778862885"/>
                </patternFill>
              </fill>
            </x14:dxf>
          </x14:cfRule>
          <x14:cfRule type="cellIs" priority="722" operator="equal" id="{D32B9961-C82B-426A-A975-2475FFC80C76}">
            <xm:f>Auxiliar!$B$24</xm:f>
            <x14:dxf>
              <font>
                <b/>
                <i val="0"/>
                <color theme="1"/>
              </font>
              <fill>
                <patternFill patternType="darkUp">
                  <bgColor theme="0"/>
                </patternFill>
              </fill>
            </x14:dxf>
          </x14:cfRule>
          <x14:cfRule type="cellIs" priority="723" operator="equal" id="{EE9F5D7D-A515-4B4F-859E-E804329C9CE0}">
            <xm:f>Auxiliar!$B$18</xm:f>
            <x14:dxf>
              <font>
                <b/>
                <i val="0"/>
                <color theme="0" tint="-0.499984740745262"/>
              </font>
              <fill>
                <patternFill>
                  <bgColor theme="0" tint="-4.9989318521683403E-2"/>
                </patternFill>
              </fill>
            </x14:dxf>
          </x14:cfRule>
          <x14:cfRule type="containsText" priority="72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2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2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11" operator="containsText" id="{68B7879D-8888-41E7-95DE-17E280293E9E}">
            <xm:f>NOT(ISERROR(SEARCH(Auxiliar!$B$21,J393)))</xm:f>
            <xm:f>Auxiliar!$B$21</xm:f>
            <x14:dxf>
              <font>
                <b/>
                <i val="0"/>
                <color rgb="FFFFC000"/>
              </font>
              <fill>
                <patternFill>
                  <bgColor theme="9" tint="0.59996337778862885"/>
                </patternFill>
              </fill>
            </x14:dxf>
          </x14:cfRule>
          <x14:cfRule type="cellIs" priority="212" operator="equal" id="{E7918B5B-09E9-4D9E-8DEF-22B78ADEF4EC}">
            <xm:f>Auxiliar!$B$24</xm:f>
            <x14:dxf>
              <font>
                <b/>
                <i val="0"/>
                <color theme="1"/>
              </font>
              <fill>
                <patternFill patternType="darkUp">
                  <bgColor theme="0"/>
                </patternFill>
              </fill>
            </x14:dxf>
          </x14:cfRule>
          <x14:cfRule type="cellIs" priority="213" operator="equal" id="{C9734D25-1591-44F4-B84A-F9635F7E3A1E}">
            <xm:f>Auxiliar!$B$18</xm:f>
            <x14:dxf>
              <font>
                <b/>
                <i val="0"/>
                <color theme="0" tint="-0.499984740745262"/>
              </font>
              <fill>
                <patternFill>
                  <bgColor theme="0" tint="-4.9989318521683403E-2"/>
                </patternFill>
              </fill>
            </x14:dxf>
          </x14:cfRule>
          <x14:cfRule type="containsText" priority="214"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15"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16"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57" operator="containsText" id="{EE480963-A851-4287-A599-BA2BEAF698FD}">
            <xm:f>NOT(ISERROR(SEARCH(Auxiliar!$B$21,J802)))</xm:f>
            <xm:f>Auxiliar!$B$21</xm:f>
            <x14:dxf>
              <font>
                <b/>
                <i val="0"/>
                <color rgb="FFFFC000"/>
              </font>
              <fill>
                <patternFill>
                  <bgColor theme="9" tint="0.59996337778862885"/>
                </patternFill>
              </fill>
            </x14:dxf>
          </x14:cfRule>
          <x14:cfRule type="cellIs" priority="158" operator="equal" id="{E65463CC-CED3-418A-850B-2AEC62B95131}">
            <xm:f>Auxiliar!$B$24</xm:f>
            <x14:dxf>
              <font>
                <b/>
                <i val="0"/>
                <color theme="1"/>
              </font>
              <fill>
                <patternFill patternType="darkUp">
                  <bgColor theme="0"/>
                </patternFill>
              </fill>
            </x14:dxf>
          </x14:cfRule>
          <x14:cfRule type="cellIs" priority="159" operator="equal" id="{BFBBF7BF-D3FA-4006-A560-667BD910E543}">
            <xm:f>Auxiliar!$B$18</xm:f>
            <x14:dxf>
              <font>
                <b/>
                <i val="0"/>
                <color theme="0" tint="-0.499984740745262"/>
              </font>
              <fill>
                <patternFill>
                  <bgColor theme="0" tint="-4.9989318521683403E-2"/>
                </patternFill>
              </fill>
            </x14:dxf>
          </x14:cfRule>
          <x14:cfRule type="containsText" priority="160"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61"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62"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63" operator="containsText" id="{38F96929-C4AA-431E-B12A-0DCF4864D5CD}">
            <xm:f>NOT(ISERROR(SEARCH(Auxiliar!$B$21,J1532)))</xm:f>
            <xm:f>Auxiliar!$B$21</xm:f>
            <x14:dxf>
              <font>
                <b/>
                <i val="0"/>
                <color rgb="FFFFC000"/>
              </font>
              <fill>
                <patternFill>
                  <bgColor theme="9" tint="0.59996337778862885"/>
                </patternFill>
              </fill>
            </x14:dxf>
          </x14:cfRule>
          <x14:cfRule type="cellIs" priority="164" operator="equal" id="{A23AEDE7-80C2-459D-94A3-CF50BC8E067F}">
            <xm:f>Auxiliar!$B$24</xm:f>
            <x14:dxf>
              <font>
                <b/>
                <i val="0"/>
                <color theme="1"/>
              </font>
              <fill>
                <patternFill patternType="darkUp">
                  <bgColor theme="0"/>
                </patternFill>
              </fill>
            </x14:dxf>
          </x14:cfRule>
          <x14:cfRule type="cellIs" priority="165" operator="equal" id="{BD63F02A-7953-4EFD-A25E-5F5A4519C878}">
            <xm:f>Auxiliar!$B$18</xm:f>
            <x14:dxf>
              <font>
                <b/>
                <i val="0"/>
                <color theme="0" tint="-0.499984740745262"/>
              </font>
              <fill>
                <patternFill>
                  <bgColor theme="0" tint="-4.9989318521683403E-2"/>
                </patternFill>
              </fill>
            </x14:dxf>
          </x14:cfRule>
          <x14:cfRule type="containsText" priority="166"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67"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68"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CA951775-A6AC-4435-AECC-C0B65647D1F0}">
            <xm:f>NOT(ISERROR(SEARCH(Auxiliar!$B$21,I1287)))</xm:f>
            <xm:f>Auxiliar!$B$21</xm:f>
            <x14:dxf>
              <font>
                <b/>
                <i val="0"/>
                <color rgb="FFFFC000"/>
              </font>
              <fill>
                <patternFill>
                  <bgColor theme="9" tint="0.59996337778862885"/>
                </patternFill>
              </fill>
            </x14:dxf>
          </x14:cfRule>
          <x14:cfRule type="cellIs" priority="20" operator="equal" id="{0C08ED8D-D9A5-40D7-88D1-42FAFDD398C3}">
            <xm:f>Auxiliar!$B$24</xm:f>
            <x14:dxf>
              <font>
                <b/>
                <i val="0"/>
                <color theme="1"/>
              </font>
              <fill>
                <patternFill patternType="darkUp">
                  <bgColor theme="0"/>
                </patternFill>
              </fill>
            </x14:dxf>
          </x14:cfRule>
          <x14:cfRule type="cellIs" priority="21" operator="equal" id="{C7CF56B0-2401-4A3B-B862-A1A5ECE1EE2E}">
            <xm:f>Auxiliar!$B$18</xm:f>
            <x14:dxf>
              <font>
                <b/>
                <i val="0"/>
                <color theme="0" tint="-0.499984740745262"/>
              </font>
              <fill>
                <patternFill>
                  <bgColor theme="0" tint="-4.9989318521683403E-2"/>
                </patternFill>
              </fill>
            </x14:dxf>
          </x14:cfRule>
          <x14:cfRule type="containsText" priority="22" operator="containsText" id="{618938CC-5199-4E67-BB43-7A3DB3AD1364}">
            <xm:f>NOT(ISERROR(SEARCH(Auxiliar!$B$22,I1287)))</xm:f>
            <xm:f>Auxiliar!$B$22</xm:f>
            <x14:dxf>
              <font>
                <b/>
                <i val="0"/>
                <color rgb="FFC00000"/>
              </font>
              <fill>
                <patternFill>
                  <bgColor theme="4" tint="0.79998168889431442"/>
                </patternFill>
              </fill>
            </x14:dxf>
          </x14:cfRule>
          <x14:cfRule type="containsText" priority="23" operator="containsText" id="{C3E2CC3C-0069-442D-8684-A14092FC9826}">
            <xm:f>NOT(ISERROR(SEARCH(Auxiliar!$B$19,I1287)))</xm:f>
            <xm:f>Auxiliar!$B$19</xm:f>
            <x14:dxf>
              <font>
                <b/>
                <i val="0"/>
                <color theme="9" tint="-0.499984740745262"/>
              </font>
              <fill>
                <patternFill>
                  <bgColor theme="9" tint="0.79998168889431442"/>
                </patternFill>
              </fill>
            </x14:dxf>
          </x14:cfRule>
          <x14:cfRule type="containsText" priority="24" operator="containsText" id="{CAAC3E20-E5C1-42CB-B878-573AAD5ED4C9}">
            <xm:f>NOT(ISERROR(SEARCH(Auxiliar!$B$16,I1287)))</xm:f>
            <xm:f>Auxiliar!$B$16</xm:f>
            <x14:dxf>
              <font>
                <b/>
                <i val="0"/>
                <color theme="7"/>
              </font>
              <fill>
                <patternFill>
                  <bgColor theme="7" tint="0.79998168889431442"/>
                </patternFill>
              </fill>
            </x14:dxf>
          </x14:cfRule>
          <xm:sqref>I1287</xm:sqref>
        </x14:conditionalFormatting>
        <x14:conditionalFormatting xmlns:xm="http://schemas.microsoft.com/office/excel/2006/main">
          <x14:cfRule type="containsText" priority="13" operator="containsText" id="{A82BCACA-8B76-4701-8C05-3F949BDD0E9D}">
            <xm:f>NOT(ISERROR(SEARCH(Auxiliar!$B$21,I1288)))</xm:f>
            <xm:f>Auxiliar!$B$21</xm:f>
            <x14:dxf>
              <font>
                <b/>
                <i val="0"/>
                <color rgb="FFFFC000"/>
              </font>
              <fill>
                <patternFill>
                  <bgColor theme="9" tint="0.59996337778862885"/>
                </patternFill>
              </fill>
            </x14:dxf>
          </x14:cfRule>
          <x14:cfRule type="cellIs" priority="14" operator="equal" id="{0548F3AF-1CFF-49D3-8804-20994B24D0BC}">
            <xm:f>Auxiliar!$B$24</xm:f>
            <x14:dxf>
              <font>
                <b/>
                <i val="0"/>
                <color theme="1"/>
              </font>
              <fill>
                <patternFill patternType="darkUp">
                  <bgColor theme="0"/>
                </patternFill>
              </fill>
            </x14:dxf>
          </x14:cfRule>
          <x14:cfRule type="cellIs" priority="15" operator="equal" id="{23FBA885-DBBE-4B9B-99E4-2C75AB8C650B}">
            <xm:f>Auxiliar!$B$18</xm:f>
            <x14:dxf>
              <font>
                <b/>
                <i val="0"/>
                <color theme="0" tint="-0.499984740745262"/>
              </font>
              <fill>
                <patternFill>
                  <bgColor theme="0" tint="-4.9989318521683403E-2"/>
                </patternFill>
              </fill>
            </x14:dxf>
          </x14:cfRule>
          <x14:cfRule type="containsText" priority="16" operator="containsText" id="{2AF68960-A397-4689-B681-B61ECC244A7D}">
            <xm:f>NOT(ISERROR(SEARCH(Auxiliar!$B$22,I1288)))</xm:f>
            <xm:f>Auxiliar!$B$22</xm:f>
            <x14:dxf>
              <font>
                <b/>
                <i val="0"/>
                <color rgb="FFC00000"/>
              </font>
              <fill>
                <patternFill>
                  <bgColor theme="4" tint="0.79998168889431442"/>
                </patternFill>
              </fill>
            </x14:dxf>
          </x14:cfRule>
          <x14:cfRule type="containsText" priority="17" operator="containsText" id="{3C261EF6-D6E5-4FFE-B042-BA396C3F42F8}">
            <xm:f>NOT(ISERROR(SEARCH(Auxiliar!$B$19,I1288)))</xm:f>
            <xm:f>Auxiliar!$B$19</xm:f>
            <x14:dxf>
              <font>
                <b/>
                <i val="0"/>
                <color theme="9" tint="-0.499984740745262"/>
              </font>
              <fill>
                <patternFill>
                  <bgColor theme="9" tint="0.79998168889431442"/>
                </patternFill>
              </fill>
            </x14:dxf>
          </x14:cfRule>
          <x14:cfRule type="containsText" priority="18" operator="containsText" id="{2CD2B01F-BE45-425B-9EEB-B331CC6710AA}">
            <xm:f>NOT(ISERROR(SEARCH(Auxiliar!$B$16,I1288)))</xm:f>
            <xm:f>Auxiliar!$B$16</xm:f>
            <x14:dxf>
              <font>
                <b/>
                <i val="0"/>
                <color theme="7"/>
              </font>
              <fill>
                <patternFill>
                  <bgColor theme="7" tint="0.79998168889431442"/>
                </patternFill>
              </fill>
            </x14:dxf>
          </x14:cfRule>
          <xm:sqref>I1288</xm:sqref>
        </x14:conditionalFormatting>
        <x14:conditionalFormatting xmlns:xm="http://schemas.microsoft.com/office/excel/2006/main">
          <x14:cfRule type="containsText" priority="7" operator="containsText" id="{77581729-4EE6-45A3-AE6D-5E19FA5E2B42}">
            <xm:f>NOT(ISERROR(SEARCH(Auxiliar!$B$21,I1289)))</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NOT(ISERROR(SEARCH(Auxiliar!$B$22,I1289)))</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NOT(ISERROR(SEARCH(Auxiliar!$B$19,I1289)))</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NOT(ISERROR(SEARCH(Auxiliar!$B$16,I1289)))</xm:f>
            <xm:f>Auxiliar!$B$16</xm:f>
            <x14:dxf>
              <font>
                <b/>
                <i val="0"/>
                <color theme="7"/>
              </font>
              <fill>
                <patternFill>
                  <bgColor theme="7" tint="0.79998168889431442"/>
                </patternFill>
              </fill>
            </x14:dxf>
          </x14:cfRule>
          <xm:sqref>I1289</xm:sqref>
        </x14:conditionalFormatting>
        <x14:conditionalFormatting xmlns:xm="http://schemas.microsoft.com/office/excel/2006/main">
          <x14:cfRule type="containsText" priority="1" operator="containsText" id="{B2D23FBA-A51D-48EA-8F07-0EE4D8A4D4F5}">
            <xm:f>NOT(ISERROR(SEARCH(Auxiliar!$B$21,I692)))</xm:f>
            <xm:f>Auxiliar!$B$21</xm:f>
            <x14:dxf>
              <font>
                <b/>
                <i val="0"/>
                <color rgb="FFFFC000"/>
              </font>
              <fill>
                <patternFill>
                  <bgColor theme="9" tint="0.59996337778862885"/>
                </patternFill>
              </fill>
            </x14:dxf>
          </x14:cfRule>
          <x14:cfRule type="cellIs" priority="2" operator="equal" id="{142E032A-CC22-40A8-8963-A9419EFD1875}">
            <xm:f>Auxiliar!$B$24</xm:f>
            <x14:dxf>
              <font>
                <b/>
                <i val="0"/>
                <color theme="1"/>
              </font>
              <fill>
                <patternFill patternType="darkUp">
                  <bgColor theme="0"/>
                </patternFill>
              </fill>
            </x14:dxf>
          </x14:cfRule>
          <x14:cfRule type="cellIs" priority="3" operator="equal" id="{5E9F3038-1A0C-40B9-BA0C-6B6DB3E11D9A}">
            <xm:f>Auxiliar!$B$18</xm:f>
            <x14:dxf>
              <font>
                <b/>
                <i val="0"/>
                <color theme="0" tint="-0.499984740745262"/>
              </font>
              <fill>
                <patternFill>
                  <bgColor theme="0" tint="-4.9989318521683403E-2"/>
                </patternFill>
              </fill>
            </x14:dxf>
          </x14:cfRule>
          <x14:cfRule type="containsText" priority="4"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5"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6" operator="containsText" id="{980DB7C4-F81E-4333-87A4-C22DB0F824D8}">
            <xm:f>NOT(ISERROR(SEARCH(Auxiliar!$B$16,I692)))</xm:f>
            <xm:f>Auxiliar!$B$16</xm:f>
            <x14:dxf>
              <font>
                <b/>
                <i val="0"/>
                <color theme="7"/>
              </font>
              <fill>
                <patternFill>
                  <bgColor theme="7" tint="0.79998168889431442"/>
                </patternFill>
              </fill>
            </x14:dxf>
          </x14:cfRule>
          <xm:sqref>I707:I712 I692:I697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0.625</v>
      </c>
      <c r="P83" s="311">
        <f ca="1">SUMPRODUCT(P84:P85,U84:U85)/SUM(U84:U85)</f>
        <v>1</v>
      </c>
      <c r="Q83" s="238">
        <f t="shared" ca="1" si="26"/>
        <v>-0.375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4. Validação EF</v>
      </c>
      <c r="I84" s="314">
        <v>45635</v>
      </c>
      <c r="J84" s="313"/>
      <c r="K84" s="313"/>
      <c r="L84" s="280">
        <f t="array" ref="L84">MIN(IF(W84:CI84&gt;0,$W$16:$CI$16))</f>
        <v>45628</v>
      </c>
      <c r="M84" s="281">
        <f t="array" ref="M84">MAX(IF(W84:CI84&gt;0,$W$16:$CI$16))</f>
        <v>45639</v>
      </c>
      <c r="N84" s="281"/>
      <c r="O84" s="239">
        <f>VLOOKUP(H84,Auxiliar!$B$16:$E$24,4,0)</f>
        <v>0.25</v>
      </c>
      <c r="P84" s="239">
        <f ca="1">IF(TODAY()&lt;=L84,0,MIN((TODAY()-L84)/(M84-L84+1),100%))</f>
        <v>1</v>
      </c>
      <c r="Q84" s="239">
        <f ca="1">O84-P84</f>
        <v>-0.75</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0.74999999999999989</v>
      </c>
      <c r="P98" s="311">
        <f ca="1">SUMPRODUCT(P99:P101,U99:U101)/SUM(U99:U101)</f>
        <v>1</v>
      </c>
      <c r="Q98" s="303">
        <f t="shared" ca="1" si="26"/>
        <v>-0.25000000000000011</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4. Validação EF</v>
      </c>
      <c r="I101" s="275">
        <v>45595</v>
      </c>
      <c r="J101" s="313">
        <v>45611</v>
      </c>
      <c r="K101" s="313">
        <v>45611</v>
      </c>
      <c r="L101" s="280">
        <f t="array" ref="L101">MIN(IF(W101:CI101&gt;0,$W$16:$CI$16))</f>
        <v>45629</v>
      </c>
      <c r="M101" s="281">
        <f t="array" ref="M101">MAX(IF(W101:CI101&gt;0,$W$16:$CI$16))</f>
        <v>45629</v>
      </c>
      <c r="N101" s="281"/>
      <c r="O101" s="239">
        <f>VLOOKUP(H101,Auxiliar!$B$16:$E$24,4,0)</f>
        <v>0.25</v>
      </c>
      <c r="P101" s="239">
        <f ca="1">IF(TODAY()&lt;=L101,0,MIN((TODAY()-L101)/(M101-L101+1),100%))</f>
        <v>1</v>
      </c>
      <c r="Q101" s="238">
        <f t="shared" ca="1" si="26"/>
        <v>-0.75</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1</v>
      </c>
      <c r="P161" s="311">
        <f ca="1">SUMPRODUCT(P162:P164,U162:U164)/SUM(U162:U164)</f>
        <v>1</v>
      </c>
      <c r="Q161" s="238">
        <f t="shared" ca="1" si="33"/>
        <v>0</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1. Concluído</v>
      </c>
      <c r="I164" s="275">
        <v>45593</v>
      </c>
      <c r="J164" s="313">
        <v>45624</v>
      </c>
      <c r="K164" s="317">
        <v>45624</v>
      </c>
      <c r="L164" s="280">
        <f t="array" ref="L164">MIN(IF(W164:CI164&gt;0,$W$16:$CI$16))</f>
        <v>45644</v>
      </c>
      <c r="M164" s="281">
        <f t="array" ref="M164">MAX(IF(W164:CI164&gt;0,$W$16:$CI$16))</f>
        <v>45644</v>
      </c>
      <c r="N164" s="281"/>
      <c r="O164" s="239">
        <f>VLOOKUP(H164,Auxiliar!$B$16:$E$24,4,0)</f>
        <v>1</v>
      </c>
      <c r="P164" s="239">
        <f ca="1">IF(TODAY()&lt;=L164,0,MIN((TODAY()-L164)/(M164-L164+1),100%))</f>
        <v>1</v>
      </c>
      <c r="Q164" s="238">
        <f t="shared" ca="1" si="33"/>
        <v>0</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0.25</v>
      </c>
      <c r="P193" s="311">
        <f ca="1">SUMPRODUCT(P194:P197,U194:U197)/SUM(U194:U197)</f>
        <v>1</v>
      </c>
      <c r="Q193" s="238">
        <f t="shared" ca="1" si="46"/>
        <v>-0.75</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2.1 Em Teste</v>
      </c>
      <c r="I194" s="266" t="s">
        <v>38</v>
      </c>
      <c r="J194" s="275">
        <v>45638</v>
      </c>
      <c r="K194" s="275">
        <v>45639</v>
      </c>
      <c r="L194" s="280">
        <f t="array" ref="L194">MIN(IF(W194:CI194&gt;0,$W$16:$CI$16))</f>
        <v>45643</v>
      </c>
      <c r="M194" s="281">
        <f t="array" ref="M194">MAX(IF(W194:CI194&gt;0,$W$16:$CI$16))</f>
        <v>45644</v>
      </c>
      <c r="N194" s="281"/>
      <c r="O194" s="239">
        <f>VLOOKUP(H194,Auxiliar!$B$16:$E$24,4,0)</f>
        <v>0.25</v>
      </c>
      <c r="P194" s="239">
        <f ca="1">IF(TODAY()&lt;=L194,0,MIN((TODAY()-L194)/(M194-L194+1),100%))</f>
        <v>1</v>
      </c>
      <c r="Q194" s="238">
        <f t="shared" ca="1" si="46"/>
        <v>-0.75</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2.1 Em Teste</v>
      </c>
      <c r="I195" s="266" t="s">
        <v>38</v>
      </c>
      <c r="J195" s="275">
        <v>45638</v>
      </c>
      <c r="K195" s="275">
        <v>45639</v>
      </c>
      <c r="L195" s="280">
        <f t="array" ref="L195">MIN(IF(W195:CI195&gt;0,$W$16:$CI$16))</f>
        <v>45645</v>
      </c>
      <c r="M195" s="281">
        <f t="array" ref="M195">MAX(IF(W195:CI195&gt;0,$W$16:$CI$16))</f>
        <v>45646</v>
      </c>
      <c r="N195" s="281"/>
      <c r="O195" s="239">
        <f>VLOOKUP(H195,Auxiliar!$B$16:$E$24,4,0)</f>
        <v>0.25</v>
      </c>
      <c r="P195" s="239">
        <f ca="1">IF(TODAY()&lt;=L195,0,MIN((TODAY()-L195)/(M195-L195+1),100%))</f>
        <v>1</v>
      </c>
      <c r="Q195" s="238">
        <f t="shared" ca="1" si="46"/>
        <v>-0.75</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2.1 Em Teste</v>
      </c>
      <c r="I196" s="266" t="s">
        <v>38</v>
      </c>
      <c r="J196" s="275">
        <v>45638</v>
      </c>
      <c r="K196" s="275">
        <v>45639</v>
      </c>
      <c r="L196" s="280">
        <f t="array" ref="L196">MIN(IF(W196:CI196&gt;0,$W$16:$CI$16))</f>
        <v>45638</v>
      </c>
      <c r="M196" s="281">
        <f t="array" ref="M196">MAX(IF(W196:CI196&gt;0,$W$16:$CI$16))</f>
        <v>45638</v>
      </c>
      <c r="N196" s="281"/>
      <c r="O196" s="239">
        <f>VLOOKUP(H196,Auxiliar!$B$16:$E$24,4,0)</f>
        <v>0.25</v>
      </c>
      <c r="P196" s="239">
        <f ca="1">IF(TODAY()&lt;=L196,0,MIN((TODAY()-L196)/(M196-L196+1),100%))</f>
        <v>1</v>
      </c>
      <c r="Q196" s="238">
        <f t="shared" ca="1" si="46"/>
        <v>-0.75</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2.1 Em Teste</v>
      </c>
      <c r="I197" s="266" t="s">
        <v>38</v>
      </c>
      <c r="J197" s="275">
        <v>45638</v>
      </c>
      <c r="K197" s="275">
        <v>45639</v>
      </c>
      <c r="L197" s="280">
        <f t="array" ref="L197">MIN(IF(W197:CI197&gt;0,$W$16:$CI$16))</f>
        <v>45638</v>
      </c>
      <c r="M197" s="281">
        <f t="array" ref="M197">MAX(IF(W197:CI197&gt;0,$W$16:$CI$16))</f>
        <v>45638</v>
      </c>
      <c r="N197" s="281"/>
      <c r="O197" s="239">
        <f>VLOOKUP(H197,Auxiliar!$B$16:$E$24,4,0)</f>
        <v>0.25</v>
      </c>
      <c r="P197" s="239">
        <f ca="1">IF(TODAY()&lt;=L197,0,MIN((TODAY()-L197)/(M197-L197+1),100%))</f>
        <v>1</v>
      </c>
      <c r="Q197" s="238">
        <f t="shared" ca="1" si="46"/>
        <v>-0.75</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0.11075949367088607</v>
      </c>
      <c r="P249" s="304">
        <f ca="1">SUMPRODUCT(P250:P268,U250:U268)/SUM(U250:U268)</f>
        <v>0.25316455696202528</v>
      </c>
      <c r="Q249" s="238">
        <f t="shared" ca="1" si="60"/>
        <v>-0.14240506329113922</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2.1 Em Teste</v>
      </c>
      <c r="I250" s="266" t="s">
        <v>38</v>
      </c>
      <c r="J250" s="275">
        <v>45638</v>
      </c>
      <c r="K250" s="275">
        <v>45639</v>
      </c>
      <c r="L250" s="280">
        <f t="array" ref="L250">MIN(IF(W250:CI250&gt;0,$W$16:$CI$16))</f>
        <v>45639</v>
      </c>
      <c r="M250" s="281">
        <f t="array" ref="M250">MAX(IF(W250:CI250&gt;0,$W$16:$CI$16))</f>
        <v>45639</v>
      </c>
      <c r="N250" s="281"/>
      <c r="O250" s="239">
        <f>VLOOKUP(H250,Auxiliar!$B$16:$E$24,4,0)</f>
        <v>0.25</v>
      </c>
      <c r="P250" s="305">
        <f ca="1">IF(TODAY()&lt;=L250,0,MIN((TODAY()-L250)/(M250-L250+1),100%))</f>
        <v>1</v>
      </c>
      <c r="Q250" s="238">
        <f t="shared" ca="1" si="60"/>
        <v>-0.75</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4. Validação EF</v>
      </c>
      <c r="I251" s="266"/>
      <c r="J251" s="275"/>
      <c r="K251" s="275"/>
      <c r="L251" s="280"/>
      <c r="M251" s="281"/>
      <c r="N251" s="281"/>
      <c r="O251" s="239">
        <f>VLOOKUP(H251,Auxiliar!$B$16:$E$24,4,0)</f>
        <v>0.25</v>
      </c>
      <c r="P251" s="305">
        <f ca="1">IF(TODAY()&lt;=L251,0,MIN((TODAY()-L251)/(M251-L251+1),100%))</f>
        <v>1</v>
      </c>
      <c r="Q251" s="238">
        <f t="shared" ca="1" si="60"/>
        <v>-0.75</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4. Validação EF</v>
      </c>
      <c r="I252" s="266" t="s">
        <v>38</v>
      </c>
      <c r="J252" s="275">
        <v>45638</v>
      </c>
      <c r="K252" s="275">
        <v>45639</v>
      </c>
      <c r="L252" s="280">
        <f t="array" ref="L252">MIN(IF(W252:CI252&gt;0,$W$16:$CI$16))</f>
        <v>45639</v>
      </c>
      <c r="M252" s="281">
        <f t="array" ref="M252">MAX(IF(W252:CI252&gt;0,$W$16:$CI$16))</f>
        <v>45639</v>
      </c>
      <c r="N252" s="281"/>
      <c r="O252" s="239">
        <f>VLOOKUP(H252,Auxiliar!$B$16:$E$24,4,0)</f>
        <v>0.25</v>
      </c>
      <c r="P252" s="305">
        <f ca="1">IF(TODAY()&lt;=L252,0,MIN((TODAY()-L252)/(M252-L252+1),100%))</f>
        <v>1</v>
      </c>
      <c r="Q252" s="238">
        <f t="shared" ca="1" si="60"/>
        <v>-0.75</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2.1 Em Teste</v>
      </c>
      <c r="I253" s="266" t="s">
        <v>38</v>
      </c>
      <c r="J253" s="275">
        <v>45638</v>
      </c>
      <c r="K253" s="275">
        <v>45639</v>
      </c>
      <c r="L253" s="280">
        <f t="array" ref="L253">MIN(IF(W253:CI253&gt;0,$W$16:$CI$16))</f>
        <v>45639</v>
      </c>
      <c r="M253" s="281">
        <f t="array" ref="M253">MAX(IF(W253:CI253&gt;0,$W$16:$CI$16))</f>
        <v>45639</v>
      </c>
      <c r="N253" s="281"/>
      <c r="O253" s="239">
        <f>VLOOKUP(H253,Auxiliar!$B$16:$E$24,4,0)</f>
        <v>0.25</v>
      </c>
      <c r="P253" s="305">
        <f ca="1">IF(TODAY()&lt;=L253,0,MIN((TODAY()-L253)/(M253-L253+1),100%))</f>
        <v>1</v>
      </c>
      <c r="Q253" s="238">
        <f t="shared" ca="1" si="60"/>
        <v>-0.75</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1. Concluído</v>
      </c>
      <c r="I254" s="266" t="s">
        <v>38</v>
      </c>
      <c r="J254" s="275">
        <v>45638</v>
      </c>
      <c r="K254" s="275">
        <v>45639</v>
      </c>
      <c r="L254" s="280">
        <f t="array" ref="L254">MIN(IF(W254:CI254&gt;0,$W$16:$CI$16))</f>
        <v>45674</v>
      </c>
      <c r="M254" s="281">
        <f t="array" ref="M254">MAX(IF(W254:CI254&gt;0,$W$16:$CI$16))</f>
        <v>45674</v>
      </c>
      <c r="N254" s="281"/>
      <c r="O254" s="239">
        <f>VLOOKUP(H254,Auxiliar!$B$16:$E$24,4,0)</f>
        <v>1</v>
      </c>
      <c r="P254" s="305">
        <f ca="1">IF(TODAY()&lt;=L254,0,MIN((TODAY()-L254)/(M254-L254+1),100%))</f>
        <v>1</v>
      </c>
      <c r="Q254" s="238">
        <f t="shared" ca="1" si="60"/>
        <v>0</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14" activePane="bottomRight" state="frozen"/>
      <selection pane="topRight" activeCell="D136" sqref="D136"/>
      <selection pane="bottomLeft" activeCell="D136" sqref="D136"/>
      <selection pane="bottomRight" activeCell="F105" sqref="F105"/>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2.1 Em Teste</v>
      </c>
      <c r="H175" s="64">
        <f>VLOOKUP(A175,'Aux - pivots1'!$A:$B,2,0)</f>
        <v>2</v>
      </c>
      <c r="I175" s="183">
        <f>SUMIFS(Table1[Estimação (horas)],Table1[Tabela],Plano_V3!E175,Table1[Campo],Plano_V3!F175)</f>
        <v>4.0999999999999996</v>
      </c>
      <c r="J175" s="183">
        <f t="shared" si="29"/>
        <v>0.51249999999999996</v>
      </c>
      <c r="K175" s="183">
        <f>SUMIFS(Table1[Horas efetivas],Table1[Tabela],Plano_V3!E175,Table1[Campo],Plano_V3!F175)</f>
        <v>2.0499999999999998</v>
      </c>
      <c r="L175" s="183">
        <f t="shared" si="30"/>
        <v>0.25624999999999998</v>
      </c>
      <c r="M175" s="177"/>
      <c r="N175" s="177">
        <f t="shared" si="31"/>
        <v>0.5</v>
      </c>
      <c r="O175" s="177">
        <f t="shared" si="26"/>
        <v>0.5</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4. Validação EF</v>
      </c>
      <c r="H182" s="64">
        <f>VLOOKUP(A182,'Aux - pivots1'!$A:$B,2,0)</f>
        <v>5</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4. Validação EF</v>
      </c>
      <c r="H197" s="64">
        <f>VLOOKUP(A197,'Aux - pivots1'!$A:$B,2,0)</f>
        <v>5</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2.1 Em Teste</v>
      </c>
      <c r="H206" s="64">
        <f>VLOOKUP(A206,'Aux - pivots1'!$A:$B,2,0)</f>
        <v>2</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1. Concluído</v>
      </c>
      <c r="H239" s="64">
        <f>VLOOKUP(A239,'Aux - pivots1'!$A:$B,2,0)</f>
        <v>1</v>
      </c>
      <c r="I239" s="183">
        <f>SUMIFS(Table1[Estimação (horas)],Table1[Tabela],Plano_V3!E239,Table1[Campo],Plano_V3!F239)</f>
        <v>4.0999999999999996</v>
      </c>
      <c r="J239" s="183">
        <f>I239/8</f>
        <v>0.51249999999999996</v>
      </c>
      <c r="K239" s="183">
        <f>SUMIFS(Table1[Horas efetivas],Table1[Tabela],Plano_V3!E239,Table1[Campo],Plano_V3!F239)</f>
        <v>4.0999999999999996</v>
      </c>
      <c r="L239" s="183">
        <f>K239/8</f>
        <v>0.51249999999999996</v>
      </c>
      <c r="M239" s="177"/>
      <c r="N239" s="177">
        <f>L239/J239</f>
        <v>1</v>
      </c>
      <c r="O239" s="177">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91.293750000000273</v>
      </c>
      <c r="L242" s="183">
        <f>K242/8</f>
        <v>11.411718750000034</v>
      </c>
      <c r="M242" s="177"/>
      <c r="N242" s="177">
        <f t="shared" si="37"/>
        <v>0.98059881847475816</v>
      </c>
      <c r="O242" s="177">
        <f t="shared" si="32"/>
        <v>0.98059881847475816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 xml:space="preserve">6. Em implementação </v>
      </c>
      <c r="H246" s="64">
        <f>VLOOKUP(A246,'Aux - pivots1'!$A:$B,2,0)</f>
        <v>7</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 xml:space="preserve">6. Em implementação </v>
      </c>
      <c r="H262" s="64">
        <f>VLOOKUP(A262,'Aux - pivots1'!$A:$B,2,0)</f>
        <v>7</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0. Cancelado</v>
      </c>
      <c r="H289" s="64">
        <f>VLOOKUP(A289,'Aux - pivots1'!$A:$B,2,0)</f>
        <v>0</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0. Cancelado</v>
      </c>
      <c r="H292" s="64">
        <f>VLOOKUP(A292,'Aux - pivots1'!$A:$B,2,0)</f>
        <v>0</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2.1 Em Teste</v>
      </c>
      <c r="H510" s="64">
        <f>VLOOKUP(A510,'Aux - pivots1'!$A:$B,2,0)</f>
        <v>2</v>
      </c>
      <c r="I510" s="183">
        <f>SUMIFS(Table1[Estimação (horas)],Table1[Tabela],Plano_V3!E510,Table1[Campo],Plano_V3!F510)</f>
        <v>16.100000000000001</v>
      </c>
      <c r="J510" s="183">
        <f t="shared" si="332"/>
        <v>2.0125000000000002</v>
      </c>
      <c r="K510" s="183">
        <f>SUMIFS(Table1[Horas efetivas],Table1[Tabela],Plano_V3!E510,Table1[Campo],Plano_V3!F510)</f>
        <v>8.0500000000000007</v>
      </c>
      <c r="L510" s="183">
        <f t="shared" si="333"/>
        <v>1.0062500000000001</v>
      </c>
      <c r="M510" s="177"/>
      <c r="N510" s="177">
        <f t="shared" si="334"/>
        <v>0.5</v>
      </c>
      <c r="O510" s="177">
        <f t="shared" ref="O510:O562" si="340">N510-M510</f>
        <v>0.5</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2.1 Em Teste</v>
      </c>
      <c r="H511" s="64">
        <f>VLOOKUP(A511,'Aux - pivots1'!$A:$B,2,0)</f>
        <v>2</v>
      </c>
      <c r="I511" s="183">
        <f>SUMIFS(Table1[Estimação (horas)],Table1[Tabela],Plano_V3!E511,Table1[Campo],Plano_V3!F511)</f>
        <v>16.100000000000001</v>
      </c>
      <c r="J511" s="183">
        <f t="shared" si="332"/>
        <v>2.0125000000000002</v>
      </c>
      <c r="K511" s="183">
        <f>SUMIFS(Table1[Horas efetivas],Table1[Tabela],Plano_V3!E511,Table1[Campo],Plano_V3!F511)</f>
        <v>8.0500000000000007</v>
      </c>
      <c r="L511" s="183">
        <f t="shared" si="333"/>
        <v>1.0062500000000001</v>
      </c>
      <c r="M511" s="177"/>
      <c r="N511" s="177">
        <f t="shared" si="334"/>
        <v>0.5</v>
      </c>
      <c r="O511" s="177">
        <f t="shared" si="340"/>
        <v>0.5</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2.1 Em Teste</v>
      </c>
      <c r="H515" s="64">
        <f>VLOOKUP(A515,'Aux - pivots1'!$A:$B,2,0)</f>
        <v>2</v>
      </c>
      <c r="I515" s="183">
        <f>SUMIFS(Table1[Estimação (horas)],Table1[Tabela],Plano_V3!E515,Table1[Campo],Plano_V3!F515)</f>
        <v>4.0999999999999996</v>
      </c>
      <c r="J515" s="183">
        <f t="shared" si="332"/>
        <v>0.51249999999999996</v>
      </c>
      <c r="K515" s="183">
        <f>SUMIFS(Table1[Horas efetivas],Table1[Tabela],Plano_V3!E515,Table1[Campo],Plano_V3!F515)</f>
        <v>2.0499999999999998</v>
      </c>
      <c r="L515" s="183">
        <f t="shared" si="333"/>
        <v>0.25624999999999998</v>
      </c>
      <c r="M515" s="177"/>
      <c r="N515" s="177">
        <f t="shared" si="334"/>
        <v>0.5</v>
      </c>
      <c r="O515" s="177">
        <f t="shared" si="340"/>
        <v>0.5</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2.1 Em Teste</v>
      </c>
      <c r="H516" s="64">
        <f>VLOOKUP(A516,'Aux - pivots1'!$A:$B,2,0)</f>
        <v>2</v>
      </c>
      <c r="I516" s="183">
        <f>SUMIFS(Table1[Estimação (horas)],Table1[Tabela],Plano_V3!E516,Table1[Campo],Plano_V3!F516)</f>
        <v>4.0999999999999996</v>
      </c>
      <c r="J516" s="183">
        <f t="shared" si="332"/>
        <v>0.51249999999999996</v>
      </c>
      <c r="K516" s="183">
        <f>SUMIFS(Table1[Horas efetivas],Table1[Tabela],Plano_V3!E516,Table1[Campo],Plano_V3!F516)</f>
        <v>2.0499999999999998</v>
      </c>
      <c r="L516" s="183">
        <f t="shared" si="333"/>
        <v>0.25624999999999998</v>
      </c>
      <c r="M516" s="177"/>
      <c r="N516" s="177">
        <f t="shared" si="334"/>
        <v>0.5</v>
      </c>
      <c r="O516" s="177">
        <f t="shared" si="340"/>
        <v>0.5</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0. Cancelado</v>
      </c>
      <c r="H548" s="64">
        <f>VLOOKUP(A548,'Aux - pivots1'!$A:$B,2,0)</f>
        <v>0</v>
      </c>
      <c r="I548" s="183">
        <f>SUMIFS(Table1[Estimação (horas)],Table1[Tabela],Plano_V3!E548,Table1[Campo],Plano_V3!F548)</f>
        <v>4.0999999999999996</v>
      </c>
      <c r="J548" s="183">
        <f t="shared" si="345"/>
        <v>0.51249999999999996</v>
      </c>
      <c r="K548" s="183">
        <f>SUMIFS(Table1[Horas efetivas],Table1[Tabela],Plano_V3!E548,Table1[Campo],Plano_V3!F548)</f>
        <v>0</v>
      </c>
      <c r="L548" s="183">
        <f t="shared" si="346"/>
        <v>0</v>
      </c>
      <c r="M548" s="177"/>
      <c r="N548" s="177">
        <f t="shared" si="347"/>
        <v>0</v>
      </c>
      <c r="O548" s="177">
        <f t="shared" si="340"/>
        <v>0</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 xml:space="preserve">6. Em implementação </v>
      </c>
      <c r="H549" s="64">
        <f>VLOOKUP(A549,'Aux - pivots1'!$A:$B,2,0)</f>
        <v>7</v>
      </c>
      <c r="I549" s="183">
        <f>SUMIFS(Table1[Estimação (horas)],Table1[Tabela],Plano_V3!E549,Table1[Campo],Plano_V3!F549)</f>
        <v>0.1</v>
      </c>
      <c r="J549" s="183">
        <f>I549/8</f>
        <v>1.2500000000000001E-2</v>
      </c>
      <c r="K549" s="183">
        <f>SUMIFS(Table1[Horas efetivas],Table1[Tabela],Plano_V3!E549,Table1[Campo],Plano_V3!F549)</f>
        <v>2.5000000000000001E-2</v>
      </c>
      <c r="L549" s="183">
        <f>K549/8</f>
        <v>3.1250000000000002E-3</v>
      </c>
      <c r="M549" s="177"/>
      <c r="N549" s="177">
        <f>L549/J549</f>
        <v>0.25</v>
      </c>
      <c r="O549" s="177">
        <f>N549-M549</f>
        <v>0.25</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1. Concluído</v>
      </c>
      <c r="H557" s="64">
        <f>VLOOKUP(A557,'Aux - pivots1'!$A:$B,2,0)</f>
        <v>1</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 xml:space="preserve">6. Em implementação </v>
      </c>
      <c r="H595" s="64">
        <f>VLOOKUP(A595,'Aux - pivots1'!$A:$B,2,0)</f>
        <v>7</v>
      </c>
      <c r="I595" s="175">
        <f>SUMIFS(Table1[Estimação (horas)],Table1[Tabela],Plano_V3!E595,Table1[Campo],Plano_V3!F595)</f>
        <v>1</v>
      </c>
      <c r="J595" s="175">
        <f t="shared" ref="J595:J618" si="353">I595/8</f>
        <v>0.125</v>
      </c>
      <c r="K595" s="175">
        <f>SUMIFS(Table1[Horas efetivas],Table1[Tabela],Plano_V3!E595,Table1[Campo],Plano_V3!F595)</f>
        <v>0.25</v>
      </c>
      <c r="L595" s="175">
        <f t="shared" ref="L595:L618" si="354">K595/8</f>
        <v>3.125E-2</v>
      </c>
      <c r="M595" s="177"/>
      <c r="N595" s="177">
        <f t="shared" ref="N595:N618" si="355">L595/J595</f>
        <v>0.25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 xml:space="preserve">6. Em implementação </v>
      </c>
      <c r="H599" s="64">
        <f>VLOOKUP(A599,'Aux - pivots1'!$A:$B,2,0)</f>
        <v>7</v>
      </c>
      <c r="I599" s="175">
        <f>SUMIFS(Table1[Estimação (horas)],Table1[Tabela],Plano_V3!E599,Table1[Campo],Plano_V3!F599)</f>
        <v>1</v>
      </c>
      <c r="J599" s="175">
        <f t="shared" si="353"/>
        <v>0.125</v>
      </c>
      <c r="K599" s="175">
        <f>SUMIFS(Table1[Horas efetivas],Table1[Tabela],Plano_V3!E599,Table1[Campo],Plano_V3!F599)</f>
        <v>0.25</v>
      </c>
      <c r="L599" s="175">
        <f t="shared" si="354"/>
        <v>3.125E-2</v>
      </c>
      <c r="M599" s="177"/>
      <c r="N599" s="177">
        <f t="shared" si="355"/>
        <v>0.25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 xml:space="preserve">6. Em implementação </v>
      </c>
      <c r="H600" s="64">
        <f>VLOOKUP(A600,'Aux - pivots1'!$A:$B,2,0)</f>
        <v>7</v>
      </c>
      <c r="I600" s="175">
        <f>SUMIFS(Table1[Estimação (horas)],Table1[Tabela],Plano_V3!E600,Table1[Campo],Plano_V3!F600)</f>
        <v>1</v>
      </c>
      <c r="J600" s="175">
        <f t="shared" si="353"/>
        <v>0.125</v>
      </c>
      <c r="K600" s="175">
        <f>SUMIFS(Table1[Horas efetivas],Table1[Tabela],Plano_V3!E600,Table1[Campo],Plano_V3!F600)</f>
        <v>0.25</v>
      </c>
      <c r="L600" s="175">
        <f t="shared" si="354"/>
        <v>3.125E-2</v>
      </c>
      <c r="M600" s="177"/>
      <c r="N600" s="177">
        <f t="shared" si="355"/>
        <v>0.25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 xml:space="preserve">6. Em implementação </v>
      </c>
      <c r="H601" s="64">
        <f>VLOOKUP(A601,'Aux - pivots1'!$A:$B,2,0)</f>
        <v>7</v>
      </c>
      <c r="I601" s="175">
        <f>SUMIFS(Table1[Estimação (horas)],Table1[Tabela],Plano_V3!E601,Table1[Campo],Plano_V3!F601)</f>
        <v>1</v>
      </c>
      <c r="J601" s="175">
        <f t="shared" si="353"/>
        <v>0.125</v>
      </c>
      <c r="K601" s="175">
        <f>SUMIFS(Table1[Horas efetivas],Table1[Tabela],Plano_V3!E601,Table1[Campo],Plano_V3!F601)</f>
        <v>0.25</v>
      </c>
      <c r="L601" s="175">
        <f t="shared" si="354"/>
        <v>3.125E-2</v>
      </c>
      <c r="M601" s="177"/>
      <c r="N601" s="177">
        <f t="shared" si="355"/>
        <v>0.25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 xml:space="preserve">6. Em implementação </v>
      </c>
      <c r="H602" s="64">
        <f>VLOOKUP(A602,'Aux - pivots1'!$A:$B,2,0)</f>
        <v>7</v>
      </c>
      <c r="I602" s="175">
        <f>SUMIFS(Table1[Estimação (horas)],Table1[Tabela],Plano_V3!E602,Table1[Campo],Plano_V3!F602)</f>
        <v>1</v>
      </c>
      <c r="J602" s="175">
        <f t="shared" si="353"/>
        <v>0.125</v>
      </c>
      <c r="K602" s="175">
        <f>SUMIFS(Table1[Horas efetivas],Table1[Tabela],Plano_V3!E602,Table1[Campo],Plano_V3!F602)</f>
        <v>0.25</v>
      </c>
      <c r="L602" s="175">
        <f t="shared" si="354"/>
        <v>3.125E-2</v>
      </c>
      <c r="M602" s="177"/>
      <c r="N602" s="177">
        <f t="shared" si="355"/>
        <v>0.25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 xml:space="preserve">6. Em implementação </v>
      </c>
      <c r="H603" s="64">
        <f>VLOOKUP(A603,'Aux - pivots1'!$A:$B,2,0)</f>
        <v>7</v>
      </c>
      <c r="I603" s="175">
        <f>SUMIFS(Table1[Estimação (horas)],Table1[Tabela],Plano_V3!E603,Table1[Campo],Plano_V3!F603)</f>
        <v>1</v>
      </c>
      <c r="J603" s="175">
        <f t="shared" si="353"/>
        <v>0.125</v>
      </c>
      <c r="K603" s="175">
        <f>SUMIFS(Table1[Horas efetivas],Table1[Tabela],Plano_V3!E603,Table1[Campo],Plano_V3!F603)</f>
        <v>0.25</v>
      </c>
      <c r="L603" s="175">
        <f t="shared" si="354"/>
        <v>3.125E-2</v>
      </c>
      <c r="M603" s="177"/>
      <c r="N603" s="177">
        <f t="shared" si="355"/>
        <v>0.25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 xml:space="preserve">6. Em implementação </v>
      </c>
      <c r="H604" s="64">
        <f>VLOOKUP(A604,'Aux - pivots1'!$A:$B,2,0)</f>
        <v>7</v>
      </c>
      <c r="I604" s="175">
        <f>SUMIFS(Table1[Estimação (horas)],Table1[Tabela],Plano_V3!E604,Table1[Campo],Plano_V3!F604)</f>
        <v>1</v>
      </c>
      <c r="J604" s="175">
        <f t="shared" si="353"/>
        <v>0.125</v>
      </c>
      <c r="K604" s="175">
        <f>SUMIFS(Table1[Horas efetivas],Table1[Tabela],Plano_V3!E604,Table1[Campo],Plano_V3!F604)</f>
        <v>0.25</v>
      </c>
      <c r="L604" s="175">
        <f t="shared" si="354"/>
        <v>3.125E-2</v>
      </c>
      <c r="M604" s="177"/>
      <c r="N604" s="177">
        <f t="shared" si="355"/>
        <v>0.25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 xml:space="preserve">6. Em implementação </v>
      </c>
      <c r="H605" s="64">
        <f>VLOOKUP(A605,'Aux - pivots1'!$A:$B,2,0)</f>
        <v>7</v>
      </c>
      <c r="I605" s="175">
        <f>SUMIFS(Table1[Estimação (horas)],Table1[Tabela],Plano_V3!E605,Table1[Campo],Plano_V3!F605)</f>
        <v>1</v>
      </c>
      <c r="J605" s="175">
        <f t="shared" si="353"/>
        <v>0.125</v>
      </c>
      <c r="K605" s="175">
        <f>SUMIFS(Table1[Horas efetivas],Table1[Tabela],Plano_V3!E605,Table1[Campo],Plano_V3!F605)</f>
        <v>0.25</v>
      </c>
      <c r="L605" s="175">
        <f t="shared" si="354"/>
        <v>3.125E-2</v>
      </c>
      <c r="M605" s="177"/>
      <c r="N605" s="177">
        <f t="shared" si="355"/>
        <v>0.25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 xml:space="preserve">6. Em implementação </v>
      </c>
      <c r="H606" s="64">
        <f>VLOOKUP(A606,'Aux - pivots1'!$A:$B,2,0)</f>
        <v>7</v>
      </c>
      <c r="I606" s="175">
        <f>SUMIFS(Table1[Estimação (horas)],Table1[Tabela],Plano_V3!E606,Table1[Campo],Plano_V3!F606)</f>
        <v>1</v>
      </c>
      <c r="J606" s="175">
        <f t="shared" si="353"/>
        <v>0.125</v>
      </c>
      <c r="K606" s="175">
        <f>SUMIFS(Table1[Horas efetivas],Table1[Tabela],Plano_V3!E606,Table1[Campo],Plano_V3!F606)</f>
        <v>0.25</v>
      </c>
      <c r="L606" s="175">
        <f t="shared" si="354"/>
        <v>3.125E-2</v>
      </c>
      <c r="M606" s="177"/>
      <c r="N606" s="177">
        <f t="shared" si="355"/>
        <v>0.25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 xml:space="preserve">6. Em implementação </v>
      </c>
      <c r="H607" s="64">
        <f>VLOOKUP(A607,'Aux - pivots1'!$A:$B,2,0)</f>
        <v>7</v>
      </c>
      <c r="I607" s="175">
        <f>SUMIFS(Table1[Estimação (horas)],Table1[Tabela],Plano_V3!E607,Table1[Campo],Plano_V3!F607)</f>
        <v>1</v>
      </c>
      <c r="J607" s="175">
        <f t="shared" si="353"/>
        <v>0.125</v>
      </c>
      <c r="K607" s="175">
        <f>SUMIFS(Table1[Horas efetivas],Table1[Tabela],Plano_V3!E607,Table1[Campo],Plano_V3!F607)</f>
        <v>0.25</v>
      </c>
      <c r="L607" s="175">
        <f t="shared" si="354"/>
        <v>3.125E-2</v>
      </c>
      <c r="M607" s="177"/>
      <c r="N607" s="177">
        <f t="shared" si="355"/>
        <v>0.25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 xml:space="preserve">6. Em implementação </v>
      </c>
      <c r="H608" s="64">
        <f>VLOOKUP(A608,'Aux - pivots1'!$A:$B,2,0)</f>
        <v>7</v>
      </c>
      <c r="I608" s="175">
        <f>SUMIFS(Table1[Estimação (horas)],Table1[Tabela],Plano_V3!E608,Table1[Campo],Plano_V3!F608)</f>
        <v>1</v>
      </c>
      <c r="J608" s="175">
        <f t="shared" si="353"/>
        <v>0.125</v>
      </c>
      <c r="K608" s="175">
        <f>SUMIFS(Table1[Horas efetivas],Table1[Tabela],Plano_V3!E608,Table1[Campo],Plano_V3!F608)</f>
        <v>0.25</v>
      </c>
      <c r="L608" s="175">
        <f t="shared" si="354"/>
        <v>3.125E-2</v>
      </c>
      <c r="M608" s="177"/>
      <c r="N608" s="177">
        <f t="shared" si="355"/>
        <v>0.25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 xml:space="preserve">6. Em implementação </v>
      </c>
      <c r="H609" s="64">
        <f>VLOOKUP(A609,'Aux - pivots1'!$A:$B,2,0)</f>
        <v>7</v>
      </c>
      <c r="I609" s="175">
        <f>SUMIFS(Table1[Estimação (horas)],Table1[Tabela],Plano_V3!E609,Table1[Campo],Plano_V3!F609)</f>
        <v>1</v>
      </c>
      <c r="J609" s="175">
        <f t="shared" si="353"/>
        <v>0.125</v>
      </c>
      <c r="K609" s="175">
        <f>SUMIFS(Table1[Horas efetivas],Table1[Tabela],Plano_V3!E609,Table1[Campo],Plano_V3!F609)</f>
        <v>0.25</v>
      </c>
      <c r="L609" s="175">
        <f t="shared" si="354"/>
        <v>3.125E-2</v>
      </c>
      <c r="M609" s="177"/>
      <c r="N609" s="177">
        <f t="shared" si="355"/>
        <v>0.25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 xml:space="preserve">6. Em implementação </v>
      </c>
      <c r="H610" s="64">
        <f>VLOOKUP(A610,'Aux - pivots1'!$A:$B,2,0)</f>
        <v>7</v>
      </c>
      <c r="I610" s="175">
        <f>SUMIFS(Table1[Estimação (horas)],Table1[Tabela],Plano_V3!E610,Table1[Campo],Plano_V3!F610)</f>
        <v>1</v>
      </c>
      <c r="J610" s="175">
        <f t="shared" si="353"/>
        <v>0.125</v>
      </c>
      <c r="K610" s="175">
        <f>SUMIFS(Table1[Horas efetivas],Table1[Tabela],Plano_V3!E610,Table1[Campo],Plano_V3!F610)</f>
        <v>0.25</v>
      </c>
      <c r="L610" s="175">
        <f t="shared" si="354"/>
        <v>3.125E-2</v>
      </c>
      <c r="M610" s="177"/>
      <c r="N610" s="177">
        <f t="shared" si="355"/>
        <v>0.25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 xml:space="preserve">6. Em implementação </v>
      </c>
      <c r="H611" s="64">
        <f>VLOOKUP(A611,'Aux - pivots1'!$A:$B,2,0)</f>
        <v>7</v>
      </c>
      <c r="I611" s="175">
        <f>SUMIFS(Table1[Estimação (horas)],Table1[Tabela],Plano_V3!E611,Table1[Campo],Plano_V3!F611)</f>
        <v>1</v>
      </c>
      <c r="J611" s="175">
        <f t="shared" si="353"/>
        <v>0.125</v>
      </c>
      <c r="K611" s="175">
        <f>SUMIFS(Table1[Horas efetivas],Table1[Tabela],Plano_V3!E611,Table1[Campo],Plano_V3!F611)</f>
        <v>0.25</v>
      </c>
      <c r="L611" s="175">
        <f t="shared" si="354"/>
        <v>3.125E-2</v>
      </c>
      <c r="M611" s="177"/>
      <c r="N611" s="177">
        <f t="shared" si="355"/>
        <v>0.25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 xml:space="preserve">6. Em implementação </v>
      </c>
      <c r="H612" s="64">
        <f>VLOOKUP(A612,'Aux - pivots1'!$A:$B,2,0)</f>
        <v>7</v>
      </c>
      <c r="I612" s="175">
        <f>SUMIFS(Table1[Estimação (horas)],Table1[Tabela],Plano_V3!E612,Table1[Campo],Plano_V3!F612)</f>
        <v>1</v>
      </c>
      <c r="J612" s="175">
        <f t="shared" si="353"/>
        <v>0.125</v>
      </c>
      <c r="K612" s="175">
        <f>SUMIFS(Table1[Horas efetivas],Table1[Tabela],Plano_V3!E612,Table1[Campo],Plano_V3!F612)</f>
        <v>0.25</v>
      </c>
      <c r="L612" s="175">
        <f t="shared" si="354"/>
        <v>3.125E-2</v>
      </c>
      <c r="M612" s="177"/>
      <c r="N612" s="177">
        <f t="shared" si="355"/>
        <v>0.25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 xml:space="preserve">6. Em implementação </v>
      </c>
      <c r="H613" s="64">
        <f>VLOOKUP(A613,'Aux - pivots1'!$A:$B,2,0)</f>
        <v>7</v>
      </c>
      <c r="I613" s="175">
        <f>SUMIFS(Table1[Estimação (horas)],Table1[Tabela],Plano_V3!E613,Table1[Campo],Plano_V3!F613)</f>
        <v>1</v>
      </c>
      <c r="J613" s="175">
        <f t="shared" si="353"/>
        <v>0.125</v>
      </c>
      <c r="K613" s="175">
        <f>SUMIFS(Table1[Horas efetivas],Table1[Tabela],Plano_V3!E613,Table1[Campo],Plano_V3!F613)</f>
        <v>0.25</v>
      </c>
      <c r="L613" s="175">
        <f t="shared" si="354"/>
        <v>3.125E-2</v>
      </c>
      <c r="M613" s="177"/>
      <c r="N613" s="177">
        <f t="shared" si="355"/>
        <v>0.25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 xml:space="preserve">6. Em implementação </v>
      </c>
      <c r="H614" s="64">
        <f>VLOOKUP(A614,'Aux - pivots1'!$A:$B,2,0)</f>
        <v>7</v>
      </c>
      <c r="I614" s="175">
        <f>SUMIFS(Table1[Estimação (horas)],Table1[Tabela],Plano_V3!E614,Table1[Campo],Plano_V3!F614)</f>
        <v>1</v>
      </c>
      <c r="J614" s="175">
        <f t="shared" si="353"/>
        <v>0.125</v>
      </c>
      <c r="K614" s="175">
        <f>SUMIFS(Table1[Horas efetivas],Table1[Tabela],Plano_V3!E614,Table1[Campo],Plano_V3!F614)</f>
        <v>0.25</v>
      </c>
      <c r="L614" s="175">
        <f t="shared" si="354"/>
        <v>3.125E-2</v>
      </c>
      <c r="M614" s="177"/>
      <c r="N614" s="177">
        <f t="shared" si="355"/>
        <v>0.25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 xml:space="preserve">6. Em implementação </v>
      </c>
      <c r="H615" s="64">
        <f>VLOOKUP(A615,'Aux - pivots1'!$A:$B,2,0)</f>
        <v>7</v>
      </c>
      <c r="I615" s="175">
        <f>SUMIFS(Table1[Estimação (horas)],Table1[Tabela],Plano_V3!E615,Table1[Campo],Plano_V3!F615)</f>
        <v>1</v>
      </c>
      <c r="J615" s="175">
        <f t="shared" si="353"/>
        <v>0.125</v>
      </c>
      <c r="K615" s="175">
        <f>SUMIFS(Table1[Horas efetivas],Table1[Tabela],Plano_V3!E615,Table1[Campo],Plano_V3!F615)</f>
        <v>0.25</v>
      </c>
      <c r="L615" s="175">
        <f t="shared" si="354"/>
        <v>3.125E-2</v>
      </c>
      <c r="M615" s="177"/>
      <c r="N615" s="177">
        <f t="shared" si="355"/>
        <v>0.25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 xml:space="preserve">6. Em implementação </v>
      </c>
      <c r="H616" s="64">
        <f>VLOOKUP(A616,'Aux - pivots1'!$A:$B,2,0)</f>
        <v>7</v>
      </c>
      <c r="I616" s="175">
        <f>SUMIFS(Table1[Estimação (horas)],Table1[Tabela],Plano_V3!E616,Table1[Campo],Plano_V3!F616)</f>
        <v>1</v>
      </c>
      <c r="J616" s="175">
        <f t="shared" si="353"/>
        <v>0.125</v>
      </c>
      <c r="K616" s="175">
        <f>SUMIFS(Table1[Horas efetivas],Table1[Tabela],Plano_V3!E616,Table1[Campo],Plano_V3!F616)</f>
        <v>0.25</v>
      </c>
      <c r="L616" s="175">
        <f t="shared" si="354"/>
        <v>3.125E-2</v>
      </c>
      <c r="M616" s="177"/>
      <c r="N616" s="177">
        <f t="shared" si="355"/>
        <v>0.25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 xml:space="preserve">6. Em implementação </v>
      </c>
      <c r="H617" s="64">
        <f>VLOOKUP(A617,'Aux - pivots1'!$A:$B,2,0)</f>
        <v>7</v>
      </c>
      <c r="I617" s="175">
        <f>SUMIFS(Table1[Estimação (horas)],Table1[Tabela],Plano_V3!E617,Table1[Campo],Plano_V3!F617)</f>
        <v>1</v>
      </c>
      <c r="J617" s="175">
        <f t="shared" si="353"/>
        <v>0.125</v>
      </c>
      <c r="K617" s="175">
        <f>SUMIFS(Table1[Horas efetivas],Table1[Tabela],Plano_V3!E617,Table1[Campo],Plano_V3!F617)</f>
        <v>0.25</v>
      </c>
      <c r="L617" s="175">
        <f t="shared" si="354"/>
        <v>3.125E-2</v>
      </c>
      <c r="M617" s="177"/>
      <c r="N617" s="177">
        <f t="shared" si="355"/>
        <v>0.25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 xml:space="preserve">6. Em implementação </v>
      </c>
      <c r="H618" s="64">
        <f>VLOOKUP(A618,'Aux - pivots1'!$A:$B,2,0)</f>
        <v>7</v>
      </c>
      <c r="I618" s="175">
        <f>SUMIFS(Table1[Estimação (horas)],Table1[Tabela],Plano_V3!E618,Table1[Campo],Plano_V3!F618)</f>
        <v>1</v>
      </c>
      <c r="J618" s="175">
        <f t="shared" si="353"/>
        <v>0.125</v>
      </c>
      <c r="K618" s="175">
        <f>SUMIFS(Table1[Horas efetivas],Table1[Tabela],Plano_V3!E618,Table1[Campo],Plano_V3!F618)</f>
        <v>0.25</v>
      </c>
      <c r="L618" s="175">
        <f t="shared" si="354"/>
        <v>3.125E-2</v>
      </c>
      <c r="M618" s="177"/>
      <c r="N618" s="177">
        <f t="shared" si="355"/>
        <v>0.25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4. Validação EF</v>
      </c>
      <c r="H619" s="64">
        <f>VLOOKUP(A619,'Aux - pivots1'!$A:$B,2,0)</f>
        <v>5</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4. Validação EF</v>
      </c>
      <c r="H620" s="64">
        <f>VLOOKUP(A620,'Aux - pivots1'!$A:$B,2,0)</f>
        <v>5</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 xml:space="preserve">6. Em implementação </v>
      </c>
      <c r="H634" s="64">
        <f>VLOOKUP(A634,'Aux - pivots1'!$A:$B,2,0)</f>
        <v>7</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 xml:space="preserve">6. Em implementação </v>
      </c>
      <c r="H636" s="64">
        <f>VLOOKUP(A636,'Aux - pivots1'!$A:$B,2,0)</f>
        <v>7</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4. Validação EF</v>
      </c>
      <c r="H637" s="64">
        <f>VLOOKUP(A637,'Aux - pivots1'!$A:$B,2,0)</f>
        <v>5</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4. Validação EF</v>
      </c>
      <c r="H638" s="64">
        <f>VLOOKUP(A638,'Aux - pivots1'!$A:$B,2,0)</f>
        <v>5</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 xml:space="preserve">6. Em implementação </v>
      </c>
      <c r="H639" s="64">
        <f>VLOOKUP(A639,'Aux - pivots1'!$A:$B,2,0)</f>
        <v>7</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 xml:space="preserve">6. Em implementação </v>
      </c>
      <c r="H640" s="64">
        <f>VLOOKUP(A640,'Aux - pivots1'!$A:$B,2,0)</f>
        <v>7</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 xml:space="preserve">6. Em implementação </v>
      </c>
      <c r="H641" s="64">
        <f>VLOOKUP(A641,'Aux - pivots1'!$A:$B,2,0)</f>
        <v>7</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 xml:space="preserve">6. Em implementação </v>
      </c>
      <c r="H642" s="64">
        <f>VLOOKUP(A642,'Aux - pivots1'!$A:$B,2,0)</f>
        <v>7</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 xml:space="preserve">6. Em implementação </v>
      </c>
      <c r="H643" s="64">
        <f>VLOOKUP(A643,'Aux - pivots1'!$A:$B,2,0)</f>
        <v>7</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 xml:space="preserve">6. Em implementação </v>
      </c>
      <c r="H644" s="64">
        <f>VLOOKUP(A644,'Aux - pivots1'!$A:$B,2,0)</f>
        <v>7</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 xml:space="preserve">6. Em implementação </v>
      </c>
      <c r="H647" s="64">
        <f>VLOOKUP(A647,'Aux - pivots1'!$A:$B,2,0)</f>
        <v>7</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 xml:space="preserve">6. Em implementação </v>
      </c>
      <c r="H649" s="64">
        <f>VLOOKUP(A649,'Aux - pivots1'!$A:$B,2,0)</f>
        <v>7</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 xml:space="preserve">6. Em implementação </v>
      </c>
      <c r="H650" s="64">
        <f>VLOOKUP(A650,'Aux - pivots1'!$A:$B,2,0)</f>
        <v>7</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 xml:space="preserve">6. Em implementação </v>
      </c>
      <c r="H662" s="64">
        <f>VLOOKUP(A662,'Aux - pivots1'!$A:$B,2,0)</f>
        <v>7</v>
      </c>
      <c r="I662" s="175">
        <f>SUMIFS(Table1[Estimação (horas)],Table1[Tabela],Plano_V3!E662,Table1[Campo],Plano_V3!F662)</f>
        <v>2</v>
      </c>
      <c r="J662" s="175">
        <f t="shared" ref="J662:J677" si="367">I662/8</f>
        <v>0.25</v>
      </c>
      <c r="K662" s="175">
        <f>SUMIFS(Table1[Horas efetivas],Table1[Tabela],Plano_V3!E662,Table1[Campo],Plano_V3!F662)</f>
        <v>0.5</v>
      </c>
      <c r="L662" s="175">
        <f t="shared" ref="L662:L677" si="368">K662/8</f>
        <v>6.25E-2</v>
      </c>
      <c r="M662" s="177"/>
      <c r="N662" s="177">
        <f t="shared" ref="N662:N677" si="369">L662/J662</f>
        <v>0.25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 xml:space="preserve">6. Em implementação </v>
      </c>
      <c r="H663" s="64">
        <f>VLOOKUP(A663,'Aux - pivots1'!$A:$B,2,0)</f>
        <v>7</v>
      </c>
      <c r="I663" s="175">
        <f>SUMIFS(Table1[Estimação (horas)],Table1[Tabela],Plano_V3!E663,Table1[Campo],Plano_V3!F663)</f>
        <v>2</v>
      </c>
      <c r="J663" s="175">
        <f t="shared" si="367"/>
        <v>0.25</v>
      </c>
      <c r="K663" s="175">
        <f>SUMIFS(Table1[Horas efetivas],Table1[Tabela],Plano_V3!E663,Table1[Campo],Plano_V3!F663)</f>
        <v>0.5</v>
      </c>
      <c r="L663" s="175">
        <f t="shared" si="368"/>
        <v>6.25E-2</v>
      </c>
      <c r="M663" s="177"/>
      <c r="N663" s="177">
        <f t="shared" si="369"/>
        <v>0.25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 xml:space="preserve">6. Em implementação </v>
      </c>
      <c r="H664" s="64">
        <f>VLOOKUP(A664,'Aux - pivots1'!$A:$B,2,0)</f>
        <v>7</v>
      </c>
      <c r="I664" s="175">
        <f>SUMIFS(Table1[Estimação (horas)],Table1[Tabela],Plano_V3!E664,Table1[Campo],Plano_V3!F664)</f>
        <v>2</v>
      </c>
      <c r="J664" s="175">
        <f t="shared" si="367"/>
        <v>0.25</v>
      </c>
      <c r="K664" s="175">
        <f>SUMIFS(Table1[Horas efetivas],Table1[Tabela],Plano_V3!E664,Table1[Campo],Plano_V3!F664)</f>
        <v>0.5</v>
      </c>
      <c r="L664" s="175">
        <f t="shared" si="368"/>
        <v>6.25E-2</v>
      </c>
      <c r="M664" s="177"/>
      <c r="N664" s="177">
        <f t="shared" si="369"/>
        <v>0.25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 xml:space="preserve">6. Em implementação </v>
      </c>
      <c r="H665" s="64">
        <f>VLOOKUP(A665,'Aux - pivots1'!$A:$B,2,0)</f>
        <v>7</v>
      </c>
      <c r="I665" s="175">
        <f>SUMIFS(Table1[Estimação (horas)],Table1[Tabela],Plano_V3!E665,Table1[Campo],Plano_V3!F665)</f>
        <v>2</v>
      </c>
      <c r="J665" s="175">
        <f t="shared" si="367"/>
        <v>0.25</v>
      </c>
      <c r="K665" s="175">
        <f>SUMIFS(Table1[Horas efetivas],Table1[Tabela],Plano_V3!E665,Table1[Campo],Plano_V3!F665)</f>
        <v>0.5</v>
      </c>
      <c r="L665" s="175">
        <f t="shared" si="368"/>
        <v>6.25E-2</v>
      </c>
      <c r="M665" s="177"/>
      <c r="N665" s="177">
        <f t="shared" si="369"/>
        <v>0.25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 xml:space="preserve">6. Em implementação </v>
      </c>
      <c r="H667" s="64">
        <f>VLOOKUP(A667,'Aux - pivots1'!$A:$B,2,0)</f>
        <v>7</v>
      </c>
      <c r="I667" s="175">
        <f>SUMIFS(Table1[Estimação (horas)],Table1[Tabela],Plano_V3!E667,Table1[Campo],Plano_V3!F667)</f>
        <v>2</v>
      </c>
      <c r="J667" s="175">
        <f t="shared" si="367"/>
        <v>0.25</v>
      </c>
      <c r="K667" s="175">
        <f>SUMIFS(Table1[Horas efetivas],Table1[Tabela],Plano_V3!E667,Table1[Campo],Plano_V3!F667)</f>
        <v>0.5</v>
      </c>
      <c r="L667" s="175">
        <f t="shared" si="368"/>
        <v>6.25E-2</v>
      </c>
      <c r="M667" s="177"/>
      <c r="N667" s="177">
        <f t="shared" si="369"/>
        <v>0.25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 xml:space="preserve">6. Em implementação </v>
      </c>
      <c r="H668" s="64">
        <f>VLOOKUP(A668,'Aux - pivots1'!$A:$B,2,0)</f>
        <v>7</v>
      </c>
      <c r="I668" s="175">
        <f>SUMIFS(Table1[Estimação (horas)],Table1[Tabela],Plano_V3!E668,Table1[Campo],Plano_V3!F668)</f>
        <v>2</v>
      </c>
      <c r="J668" s="175">
        <f t="shared" si="367"/>
        <v>0.25</v>
      </c>
      <c r="K668" s="175">
        <f>SUMIFS(Table1[Horas efetivas],Table1[Tabela],Plano_V3!E668,Table1[Campo],Plano_V3!F668)</f>
        <v>0.5</v>
      </c>
      <c r="L668" s="175">
        <f t="shared" si="368"/>
        <v>6.25E-2</v>
      </c>
      <c r="M668" s="177"/>
      <c r="N668" s="177">
        <f t="shared" si="369"/>
        <v>0.25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 xml:space="preserve">6. Em implementação </v>
      </c>
      <c r="H669" s="64">
        <f>VLOOKUP(A669,'Aux - pivots1'!$A:$B,2,0)</f>
        <v>7</v>
      </c>
      <c r="I669" s="175">
        <f>SUMIFS(Table1[Estimação (horas)],Table1[Tabela],Plano_V3!E669,Table1[Campo],Plano_V3!F669)</f>
        <v>2</v>
      </c>
      <c r="J669" s="175">
        <f t="shared" si="367"/>
        <v>0.25</v>
      </c>
      <c r="K669" s="175">
        <f>SUMIFS(Table1[Horas efetivas],Table1[Tabela],Plano_V3!E669,Table1[Campo],Plano_V3!F669)</f>
        <v>0.5</v>
      </c>
      <c r="L669" s="175">
        <f t="shared" si="368"/>
        <v>6.25E-2</v>
      </c>
      <c r="M669" s="177"/>
      <c r="N669" s="177">
        <f t="shared" si="369"/>
        <v>0.25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 xml:space="preserve">6. Em implementação </v>
      </c>
      <c r="H670" s="64">
        <f>VLOOKUP(A670,'Aux - pivots1'!$A:$B,2,0)</f>
        <v>7</v>
      </c>
      <c r="I670" s="175">
        <f>SUMIFS(Table1[Estimação (horas)],Table1[Tabela],Plano_V3!E670,Table1[Campo],Plano_V3!F670)</f>
        <v>2</v>
      </c>
      <c r="J670" s="175">
        <f t="shared" si="367"/>
        <v>0.25</v>
      </c>
      <c r="K670" s="175">
        <f>SUMIFS(Table1[Horas efetivas],Table1[Tabela],Plano_V3!E670,Table1[Campo],Plano_V3!F670)</f>
        <v>0.5</v>
      </c>
      <c r="L670" s="175">
        <f t="shared" si="368"/>
        <v>6.25E-2</v>
      </c>
      <c r="M670" s="177"/>
      <c r="N670" s="177">
        <f t="shared" si="369"/>
        <v>0.25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 xml:space="preserve">6. Em implementação </v>
      </c>
      <c r="H671" s="64">
        <f>VLOOKUP(A671,'Aux - pivots1'!$A:$B,2,0)</f>
        <v>7</v>
      </c>
      <c r="I671" s="175">
        <f>SUMIFS(Table1[Estimação (horas)],Table1[Tabela],Plano_V3!E671,Table1[Campo],Plano_V3!F671)</f>
        <v>2</v>
      </c>
      <c r="J671" s="175">
        <f t="shared" si="367"/>
        <v>0.25</v>
      </c>
      <c r="K671" s="175">
        <f>SUMIFS(Table1[Horas efetivas],Table1[Tabela],Plano_V3!E671,Table1[Campo],Plano_V3!F671)</f>
        <v>0.5</v>
      </c>
      <c r="L671" s="175">
        <f t="shared" si="368"/>
        <v>6.25E-2</v>
      </c>
      <c r="M671" s="177"/>
      <c r="N671" s="177">
        <f t="shared" si="369"/>
        <v>0.25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 xml:space="preserve">6. Em implementação </v>
      </c>
      <c r="H672" s="64">
        <f>VLOOKUP(A672,'Aux - pivots1'!$A:$B,2,0)</f>
        <v>7</v>
      </c>
      <c r="I672" s="175">
        <f>SUMIFS(Table1[Estimação (horas)],Table1[Tabela],Plano_V3!E672,Table1[Campo],Plano_V3!F672)</f>
        <v>2</v>
      </c>
      <c r="J672" s="175">
        <f t="shared" si="367"/>
        <v>0.25</v>
      </c>
      <c r="K672" s="175">
        <f>SUMIFS(Table1[Horas efetivas],Table1[Tabela],Plano_V3!E672,Table1[Campo],Plano_V3!F672)</f>
        <v>0.5</v>
      </c>
      <c r="L672" s="175">
        <f t="shared" si="368"/>
        <v>6.25E-2</v>
      </c>
      <c r="M672" s="177"/>
      <c r="N672" s="177">
        <f t="shared" si="369"/>
        <v>0.25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 xml:space="preserve">6. Em implementação </v>
      </c>
      <c r="H673" s="64">
        <f>VLOOKUP(A673,'Aux - pivots1'!$A:$B,2,0)</f>
        <v>7</v>
      </c>
      <c r="I673" s="175">
        <f>SUMIFS(Table1[Estimação (horas)],Table1[Tabela],Plano_V3!E673,Table1[Campo],Plano_V3!F673)</f>
        <v>2</v>
      </c>
      <c r="J673" s="175">
        <f t="shared" si="367"/>
        <v>0.25</v>
      </c>
      <c r="K673" s="175">
        <f>SUMIFS(Table1[Horas efetivas],Table1[Tabela],Plano_V3!E673,Table1[Campo],Plano_V3!F673)</f>
        <v>0.5</v>
      </c>
      <c r="L673" s="175">
        <f t="shared" si="368"/>
        <v>6.25E-2</v>
      </c>
      <c r="M673" s="177"/>
      <c r="N673" s="177">
        <f t="shared" si="369"/>
        <v>0.25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 xml:space="preserve">6. Em implementação </v>
      </c>
      <c r="H677" s="64">
        <f>VLOOKUP(A677,'Aux - pivots1'!$A:$B,2,0)</f>
        <v>7</v>
      </c>
      <c r="I677" s="175">
        <f>SUMIFS(Table1[Estimação (horas)],Table1[Tabela],Plano_V3!E677,Table1[Campo],Plano_V3!F677)</f>
        <v>2</v>
      </c>
      <c r="J677" s="175">
        <f t="shared" si="367"/>
        <v>0.25</v>
      </c>
      <c r="K677" s="175">
        <f>SUMIFS(Table1[Horas efetivas],Table1[Tabela],Plano_V3!E677,Table1[Campo],Plano_V3!F677)</f>
        <v>0.5</v>
      </c>
      <c r="L677" s="175">
        <f t="shared" si="368"/>
        <v>6.25E-2</v>
      </c>
      <c r="M677" s="177"/>
      <c r="N677" s="177">
        <f t="shared" si="369"/>
        <v>0.25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1. Concluído</v>
      </c>
      <c r="H721" s="64">
        <f>VLOOKUP(A721,'Aux - pivots1'!$A:$B,2,0)</f>
        <v>1</v>
      </c>
      <c r="I721" s="175">
        <f>SUMIFS(Table1[Estimação (horas)],Table1[Tabela],Plano_V3!E721,Table1[Campo],Plano_V3!F721)</f>
        <v>0.1</v>
      </c>
      <c r="J721" s="175">
        <f t="shared" si="373"/>
        <v>1.2500000000000001E-2</v>
      </c>
      <c r="K721" s="175">
        <f>SUMIFS(Table1[Horas efetivas],Table1[Tabela],Plano_V3!E721,Table1[Campo],Plano_V3!F721)</f>
        <v>0.1</v>
      </c>
      <c r="L721" s="175">
        <f t="shared" si="374"/>
        <v>1.2500000000000001E-2</v>
      </c>
      <c r="M721" s="177"/>
      <c r="N721" s="177">
        <f t="shared" si="375"/>
        <v>1</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 xml:space="preserve">6. Em implementação </v>
      </c>
      <c r="H723" s="64">
        <f>VLOOKUP(A723,'Aux - pivots1'!$A:$B,2,0)</f>
        <v>7</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 xml:space="preserve">6. Em implementação </v>
      </c>
      <c r="H724" s="64">
        <f>VLOOKUP(A724,'Aux - pivots1'!$A:$B,2,0)</f>
        <v>7</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 xml:space="preserve">6. Em implementação </v>
      </c>
      <c r="H725" s="64">
        <f>VLOOKUP(A725,'Aux - pivots1'!$A:$B,2,0)</f>
        <v>7</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 xml:space="preserve">6. Em implementação </v>
      </c>
      <c r="H728" s="64">
        <f>VLOOKUP(A728,'Aux - pivots1'!$A:$B,2,0)</f>
        <v>7</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 xml:space="preserve">6. Em implementação </v>
      </c>
      <c r="H729" s="64">
        <f>VLOOKUP(A729,'Aux - pivots1'!$A:$B,2,0)</f>
        <v>7</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 xml:space="preserve">6. Em implementação </v>
      </c>
      <c r="H761" s="64">
        <f>VLOOKUP(A761,'Aux - pivots1'!$A:$B,2,0)</f>
        <v>7</v>
      </c>
      <c r="I761" s="175">
        <f>SUMIFS(Table1[Estimação (horas)],Table1[Tabela],Plano_V3!E761,Table1[Campo],Plano_V3!F761)</f>
        <v>0.1</v>
      </c>
      <c r="J761" s="175">
        <f t="shared" si="373"/>
        <v>1.2500000000000001E-2</v>
      </c>
      <c r="K761" s="175">
        <f>SUMIFS(Table1[Horas efetivas],Table1[Tabela],Plano_V3!E761,Table1[Campo],Plano_V3!F761)</f>
        <v>2.5000000000000001E-2</v>
      </c>
      <c r="L761" s="175">
        <f t="shared" si="374"/>
        <v>3.1250000000000002E-3</v>
      </c>
      <c r="M761" s="177"/>
      <c r="N761" s="177">
        <f t="shared" si="375"/>
        <v>0.25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4BB96226-89FD-4F0D-B163-5689449A7D31}"/>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documentManagement/types"/>
    <ds:schemaRef ds:uri="0683c779-04fc-4b63-89c9-6c25ffa1c0a4"/>
    <ds:schemaRef ds:uri="http://purl.org/dc/elements/1.1/"/>
    <ds:schemaRef ds:uri="http://www.w3.org/XML/1998/namespace"/>
    <ds:schemaRef ds:uri="http://purl.org/dc/dcmitype/"/>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6ea7b29d-57ec-408d-9ea9-cf73b04f66d5"/>
    <ds:schemaRef ds:uri="http://purl.org/dc/te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Aux - Pivots2</vt:lpstr>
      <vt:lpstr>2. Status Detalhe Campos FY24</vt:lpstr>
      <vt:lpstr>Sheet1</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2025-02-28T16:54:31Z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