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rappazzo/Documents/Python/TFE/"/>
    </mc:Choice>
  </mc:AlternateContent>
  <xr:revisionPtr revIDLastSave="0" documentId="13_ncr:1_{48D9886F-9618-1F48-8519-BB44972440E8}" xr6:coauthVersionLast="47" xr6:coauthVersionMax="47" xr10:uidLastSave="{00000000-0000-0000-0000-000000000000}"/>
  <bookViews>
    <workbookView xWindow="13780" yWindow="8780" windowWidth="32760" windowHeight="20500" activeTab="5" xr2:uid="{98D2E149-7685-1B42-8CEB-FD070EB79E94}"/>
  </bookViews>
  <sheets>
    <sheet name="Bioreffinery capacity" sheetId="18" r:id="rId1"/>
    <sheet name="Feed" sheetId="30" r:id="rId2"/>
    <sheet name="Feedstock1" sheetId="2" r:id="rId3"/>
    <sheet name="Feedstock2" sheetId="29" r:id="rId4"/>
    <sheet name="MainProducts" sheetId="28" r:id="rId5"/>
    <sheet name="Utility Price" sheetId="22" r:id="rId6"/>
    <sheet name="Efactor" sheetId="31" r:id="rId7"/>
    <sheet name="Raw" sheetId="32" r:id="rId8"/>
    <sheet name="Preprocessing" sheetId="5" r:id="rId9"/>
    <sheet name="PretreatmentSize" sheetId="8" r:id="rId10"/>
    <sheet name="PreprocessingRawMaterials" sheetId="24" r:id="rId11"/>
    <sheet name="PretreatmentRawMaterials" sheetId="9" r:id="rId12"/>
    <sheet name="PretreatmentByproducts" sheetId="7" r:id="rId13"/>
    <sheet name="PretreatmentRecovery" sheetId="6" r:id="rId14"/>
    <sheet name="FermentationRawMaterials" sheetId="27" r:id="rId15"/>
    <sheet name="Bioconversions" sheetId="1" r:id="rId16"/>
    <sheet name="FermentationStrains" sheetId="23" r:id="rId17"/>
    <sheet name="Purification process" sheetId="21" r:id="rId18"/>
    <sheet name="Lignin Conversion process" sheetId="15" r:id="rId19"/>
    <sheet name="Manure Conversion process " sheetId="11" r:id="rId20"/>
  </sheets>
  <definedNames>
    <definedName name="AFEX">Bioconversions!$C:$C</definedName>
    <definedName name="Dilute_Acid">Bioconversions!$A:$A</definedName>
    <definedName name="Ionic_Liquid">Bioconversions!$E:$E</definedName>
    <definedName name="LHW">Bioconversions!$D:$D</definedName>
    <definedName name="Lime">Bioconversions!$B:$B</definedName>
    <definedName name="Steam_Explosion">Bioconversions!$F:$F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0" l="1"/>
  <c r="D5" i="30"/>
  <c r="E5" i="30"/>
  <c r="F5" i="30"/>
  <c r="G5" i="30"/>
  <c r="B5" i="30"/>
  <c r="B5" i="2" l="1"/>
  <c r="C5" i="2"/>
  <c r="D5" i="2"/>
  <c r="E5" i="2"/>
  <c r="F5" i="2"/>
  <c r="G5" i="2"/>
  <c r="E3" i="21" l="1"/>
  <c r="H3" i="23"/>
  <c r="E6" i="24"/>
  <c r="D6" i="24"/>
  <c r="C6" i="24"/>
  <c r="F6" i="24"/>
  <c r="B6" i="24"/>
  <c r="H2" i="27"/>
  <c r="G5" i="6"/>
  <c r="F2" i="27"/>
  <c r="E2" i="27"/>
  <c r="D2" i="27"/>
  <c r="C2" i="27"/>
  <c r="B2" i="27"/>
  <c r="B26" i="22"/>
  <c r="B11" i="22"/>
  <c r="F26" i="9"/>
  <c r="D26" i="9"/>
  <c r="C26" i="9"/>
  <c r="E26" i="9"/>
  <c r="G26" i="9"/>
  <c r="B26" i="9"/>
  <c r="D7" i="9"/>
  <c r="F11" i="9"/>
  <c r="E11" i="9"/>
  <c r="D11" i="9"/>
  <c r="C11" i="9"/>
  <c r="B11" i="9"/>
  <c r="B25" i="22"/>
  <c r="B24" i="22"/>
  <c r="B14" i="22"/>
  <c r="B12" i="22"/>
  <c r="B13" i="23"/>
  <c r="F11" i="23"/>
  <c r="C11" i="23"/>
  <c r="I3" i="23"/>
  <c r="G3" i="23"/>
  <c r="H2" i="23"/>
  <c r="F2" i="23"/>
  <c r="B25" i="15"/>
  <c r="B22" i="22"/>
  <c r="B19" i="22"/>
  <c r="B23" i="22"/>
  <c r="B3" i="22"/>
  <c r="B13" i="22"/>
  <c r="I3" i="21"/>
  <c r="B18" i="22"/>
  <c r="B20" i="22"/>
  <c r="B10" i="22"/>
  <c r="B21" i="22"/>
  <c r="B6" i="22"/>
  <c r="I20" i="21"/>
  <c r="H20" i="21"/>
  <c r="H23" i="21"/>
  <c r="G25" i="21"/>
  <c r="I15" i="21"/>
  <c r="H15" i="21"/>
  <c r="I11" i="21"/>
  <c r="G11" i="21"/>
  <c r="H3" i="21"/>
  <c r="B8" i="22"/>
  <c r="B16" i="22"/>
  <c r="F3" i="21"/>
  <c r="F11" i="21"/>
  <c r="E13" i="21"/>
  <c r="F21" i="21"/>
  <c r="E21" i="21"/>
  <c r="F9" i="21"/>
  <c r="E9" i="21"/>
  <c r="F20" i="21"/>
  <c r="E20" i="21"/>
  <c r="E14" i="21"/>
  <c r="B15" i="22"/>
  <c r="D20" i="21"/>
  <c r="C20" i="21"/>
  <c r="B20" i="21"/>
  <c r="B7" i="22"/>
  <c r="B5" i="22"/>
  <c r="B17" i="15"/>
  <c r="B26" i="15"/>
  <c r="B22" i="15"/>
  <c r="B20" i="15"/>
  <c r="D3" i="9"/>
  <c r="C5" i="6"/>
  <c r="D5" i="6"/>
  <c r="F5" i="6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tc={C0C8A2DE-D32C-924E-B531-1ECF80CC2758}</author>
  </authors>
  <commentList>
    <comment ref="B2" authorId="0" shapeId="0" xr:uid="{C0C8A2DE-D32C-924E-B531-1ECF80CC2758}">
      <text>
        <t>[Threaded comment]
Your version of Excel allows you to read this threaded comment; however, any edits to it will get removed if the file is opened in a newer version of Excel. Learn more: https://go.microsoft.com/fwlink/?linkid=870924
Comment:
    500 ton/day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tc={9DA2E52D-E045-204C-AEA5-46F83B68A8B0}</author>
  </authors>
  <commentList>
    <comment ref="B1" authorId="0" shapeId="0" xr:uid="{9DA2E52D-E045-204C-AEA5-46F83B68A8B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https://www.sciencedirect.com/science/article/pii/S030626191200116X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tc={F5E917BF-CBE4-1B42-922F-B652C1021106}</author>
    <author>tc={276B7BC0-F5D9-C144-8842-105D29876836}</author>
    <author>tc={3B46540E-9AA3-6B40-BD4D-04DA96225A56}</author>
    <author>tc={9DAAB6B3-EFFC-BC42-8C4E-0A972613E474}</author>
    <author>tc={55B06D2B-3B8F-8F4E-8017-04A190CBFBBE}</author>
    <author>tc={11A6BA38-AC67-7E43-9D4D-61B6E3943313}</author>
  </authors>
  <commentList>
    <comment ref="A1" authorId="0" shapeId="0" xr:uid="{F5E917BF-CBE4-1B42-922F-B652C102110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https://www.sciencedirect.com/science/article/abs/pii/0141460781900263</t>
      </text>
    </comment>
    <comment ref="B5" authorId="1" shapeId="0" xr:uid="{276B7BC0-F5D9-C144-8842-105D29876836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  <comment ref="C5" authorId="2" shapeId="0" xr:uid="{3B46540E-9AA3-6B40-BD4D-04DA96225A56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  <comment ref="D5" authorId="3" shapeId="0" xr:uid="{9DAAB6B3-EFFC-BC42-8C4E-0A972613E474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  <comment ref="C11" authorId="4" shapeId="0" xr:uid="{55B06D2B-3B8F-8F4E-8017-04A190CB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https://www.sciencedirect.com/science/article/abs/pii/0141460781900263</t>
      </text>
    </comment>
    <comment ref="D15" authorId="5" shapeId="0" xr:uid="{11A6BA38-AC67-7E43-9D4D-61B6E3943313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tc={47A850DC-05DB-A24B-A8BA-C4548922642F}</author>
    <author>tc={EFB38C47-5F01-EC40-A6B4-0377B236350F}</author>
    <author>tc={24ACBA06-03F0-5B4C-8E99-466A6050E9C1}</author>
    <author>tc={6AB5B397-C9A8-F142-8517-B58482688DDE}</author>
  </authors>
  <commentList>
    <comment ref="A1" authorId="0" shapeId="0" xr:uid="{47A850DC-05DB-A24B-A8BA-C4548922642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https://www.sciencedirect.com/science/article/abs/pii/0141460781900263</t>
      </text>
    </comment>
    <comment ref="B5" authorId="1" shapeId="0" xr:uid="{EFB38C47-5F01-EC40-A6B4-0377B236350F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  <comment ref="C5" authorId="2" shapeId="0" xr:uid="{24ACBA06-03F0-5B4C-8E99-466A6050E9C1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  <comment ref="D5" authorId="3" shapeId="0" xr:uid="{6AB5B397-C9A8-F142-8517-B58482688D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100€/ton
https://bioboost.eu/uploads/files/bioboost_d1.1-syncom_feedstock_cost-vers_1.0-final.pdf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tc={65A6ED92-D0B6-6248-AF19-DF770BEABF4E}</author>
    <author>tc={33A5F62F-4588-5C46-B5C6-82576B0A2EA6}</author>
    <author>tc={79889F10-4671-6549-85FE-7AB912ED0D7D}</author>
  </authors>
  <commentList>
    <comment ref="B2" authorId="0" shapeId="0" xr:uid="{65A6ED92-D0B6-6248-AF19-DF770BEABF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1600-2000$/ton
https://smbb.mx/congresos%20smbb/cancun13/TRABAJOS/Plenary/Villadsen.pdf
</t>
      </text>
    </comment>
    <comment ref="C2" authorId="1" shapeId="0" xr:uid="{33A5F62F-4588-5C46-B5C6-82576B0A2EA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https://www.pharmacompass.com/price/lactic-acid</t>
      </text>
    </comment>
    <comment ref="D2" authorId="2" shapeId="0" xr:uid="{79889F10-4671-6549-85FE-7AB912ED0D7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https://ogst.ifpenergiesnouvelles.fr/articles/ogst/full_html/2020/01/ogst190301/ogst190301.html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tc={3C8E6573-420B-164D-ADDA-210F4493E5C8}</author>
    <author>tc={64B9E633-021F-ED47-9C9C-9A2ABB6760C4}</author>
    <author>tc={043F510D-2C00-E842-9E6E-BCA9AF2800AA}</author>
    <author>tc={B052F22E-7196-B648-A8EE-E2D1C7AF76E9}</author>
    <author>tc={0093237C-3053-2F4C-BAA3-07F678F40849}</author>
    <author>tc={03E98591-4174-3C41-B2CE-FCA9703EBD6F}</author>
    <author>tc={30894C46-9BB3-0B4E-9AA2-83FE654F92B6}</author>
    <author>tc={56235933-402A-8940-9A60-4D911B6ACBBF}</author>
    <author>tc={0B69E0DF-C2A4-BB49-B980-389E23A069D5}</author>
    <author>tc={B49E4BC6-C493-E24E-A854-47E33093DFF8}</author>
    <author>tc={86CE7DC2-8CC5-9A4D-85FA-D7E4747F7E19}</author>
    <author>tc={3609E210-49BE-CD45-ABF6-0FC44598D0C4}</author>
    <author>tc={D0709A98-78D6-C64B-88C1-7946073BDC91}</author>
    <author>tc={8EA32616-C3C8-E842-B246-26273BCD5F61}</author>
    <author>tc={445BDC4F-5CCE-AA48-9C91-71B298145259}</author>
    <author>tc={06B417CC-2CD3-A647-9A4C-754FD7999305}</author>
    <author>tc={59CDF00E-D219-234C-81D2-3E0444B46213}</author>
    <author>tc={B386D4B2-17D2-984C-BB76-80A2F8E91128}</author>
    <author>tc={226453DD-DA17-094D-B639-99F0E3A77ED3}</author>
    <author>tc={619795E0-0CFA-D146-A778-A301236643C7}</author>
    <author>tc={83F8E519-9CC1-FD45-97F2-126B6A670712}</author>
    <author>tc={CF8EF112-368B-FD44-93AE-6A00B07F1285}</author>
    <author>tc={0710D2E8-7DD9-6E4C-8340-B3CCE7FC1035}</author>
    <author>tc={0C563000-1B35-EB4C-80A3-01A4DB0E0107}</author>
    <author>tc={5A32F914-990D-9D4D-B503-0B207F78E754}</author>
  </authors>
  <commentList>
    <comment ref="B2" authorId="0" shapeId="0" xr:uid="{3C8E6573-420B-164D-ADDA-210F4493E5C8}">
      <text>
        <t>[Threaded comment]
Your version of Excel allows you to read this threaded comment; however, any edits to it will get removed if the file is opened in a newer version of Excel. Learn more: https://go.microsoft.com/fwlink/?linkid=870924
Comment:
    650$/ton
https://www.echemi.com/productsInformation/pid_Rock19411-ammonia.html</t>
      </text>
    </comment>
    <comment ref="B3" authorId="1" shapeId="0" xr:uid="{64B9E633-021F-ED47-9C9C-9A2ABB6760C4}">
      <text>
        <t>[Threaded comment]
Your version of Excel allows you to read this threaded comment; however, any edits to it will get removed if the file is opened in a newer version of Excel. Learn more: https://go.microsoft.com/fwlink/?linkid=870924
Comment:
80-100$/ton
https://www.alibaba.com/product-detail/Calcium-Hydroxide-Factory-Direct-White-Powder_1600227110322.html?spm=a2700.7724857.normal_offer.d_image.5ed9229eUO5hqA&amp;s=p</t>
      </text>
    </comment>
    <comment ref="B5" authorId="2" shapeId="0" xr:uid="{043F510D-2C00-E842-9E6E-BCA9AF2800AA}">
      <text>
        <t>[Threaded comment]
Your version of Excel allows you to read this threaded comment; however, any edits to it will get removed if the file is opened in a newer version of Excel. Learn more: https://go.microsoft.com/fwlink/?linkid=870924
Comment:
    1400-2000$/ton
https://sinowin.en.made-in-china.com/product/rSbxomnvYsUl/China-CAS-110-82-7-High-Quality-Industrial-Liquid-Cyclohexane.html</t>
      </text>
    </comment>
    <comment ref="B6" authorId="3" shapeId="0" xr:uid="{B052F22E-7196-B648-A8EE-E2D1C7AF76E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0,0686€/kWh
https://ec.europa.eu/eurostat/statistics-explained/index.php?title=Electricity_price_statistics#Electricity_prices_for_non-household_consumers
</t>
      </text>
    </comment>
    <comment ref="B7" authorId="4" shapeId="0" xr:uid="{0093237C-3053-2F4C-BAA3-07F678F40849}">
      <text>
        <t>[Threaded comment]
Your version of Excel allows you to read this threaded comment; however, any edits to it will get removed if the file is opened in a newer version of Excel. Learn more: https://go.microsoft.com/fwlink/?linkid=870924
Comment:
    850€/ton
https://www.echemi.com/productsInformation/pid_Seven2471-ethylene-glycol-eg.html</t>
      </text>
    </comment>
    <comment ref="B8" authorId="5" shapeId="0" xr:uid="{03E98591-4174-3C41-B2CE-FCA9703EBD6F}">
      <text>
        <t>[Threaded comment]
Your version of Excel allows you to read this threaded comment; however, any edits to it will get removed if the file is opened in a newer version of Excel. Learn more: https://go.microsoft.com/fwlink/?linkid=870924
Comment:
    0,0094 $/lb
https://www.nrel.gov/docs/fy02osti/32438.pdf
0,020723104 $/kg</t>
      </text>
    </comment>
    <comment ref="B9" authorId="6" shapeId="0" xr:uid="{30894C46-9BB3-0B4E-9AA2-83FE654F92B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https://pubs.acs.org/doi/suppl/10.1021/acssuschemeng.0c08055/suppl_file/sc0c08055_si_001.pdf</t>
      </text>
    </comment>
    <comment ref="B10" authorId="7" shapeId="0" xr:uid="{56235933-402A-8940-9A60-4D911B6ACBBF}">
      <text>
        <t>[Threaded comment]
Your version of Excel allows you to read this threaded comment; however, any edits to it will get removed if the file is opened in a newer version of Excel. Learn more: https://go.microsoft.com/fwlink/?linkid=870924
Comment:
    8,4 cent/Lb
https://ihsmarkit.com/pdf/RW2010-14_220240110917062932.pdf</t>
      </text>
    </comment>
    <comment ref="B11" authorId="8" shapeId="0" xr:uid="{0B69E0DF-C2A4-BB49-B980-389E23A069D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https://pubs.acs.org/doi/pdf/10.1021/sc4000384</t>
      </text>
    </comment>
    <comment ref="B12" authorId="9" shapeId="0" xr:uid="{B49E4BC6-C493-E24E-A854-47E33093DFF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https://proionic.com/bestseller/EMIM-OAc.php</t>
      </text>
    </comment>
    <comment ref="B13" authorId="10" shapeId="0" xr:uid="{86CE7DC2-8CC5-9A4D-85FA-D7E4747F7E19}">
      <text>
        <t>[Threaded comment]
Your version of Excel allows you to read this threaded comment; however, any edits to it will get removed if the file is opened in a newer version of Excel. Learn more: https://go.microsoft.com/fwlink/?linkid=870924
Comment:
    240-360$/ton
https://www.alibaba.com/product-detail/Ferric-Chloride-Chloride-Ferric-Chloride-Price_62095133477.html?spm=a2700.7724857.normal_offer.d_image.5466156870qa88&amp;s=p</t>
      </text>
    </comment>
    <comment ref="B14" authorId="11" shapeId="0" xr:uid="{3609E210-49BE-CD45-ABF6-0FC44598D0C4}">
      <text>
        <t>[Threaded comment]
Your version of Excel allows you to read this threaded comment; however, any edits to it will get removed if the file is opened in a newer version of Excel. Learn more: https://go.microsoft.com/fwlink/?linkid=870924
Comment:
80-100$/ton
https://www.alibaba.com/product-detail/Calcium-Hydroxide-Factory-Direct-White-Powder_1600227110322.html?spm=a2700.7724857.normal_offer.d_image.5ed9229eUO5hqA&amp;s=p</t>
      </text>
    </comment>
    <comment ref="B15" authorId="12" shapeId="0" xr:uid="{D0709A98-78D6-C64B-88C1-7946073BDC91}">
      <text>
        <t>[Threaded comment]
Your version of Excel allows you to read this threaded comment; however, any edits to it will get removed if the file is opened in a newer version of Excel. Learn more: https://go.microsoft.com/fwlink/?linkid=870924
Comment:
    0,007 $/MJ
https://publications.polymtl.ca/1750/1/2015_HanaLee.pdf
0,0252 $/kWh</t>
      </text>
    </comment>
    <comment ref="B16" authorId="13" shapeId="0" xr:uid="{8EA32616-C3C8-E842-B246-26273BCD5F61}">
      <text>
        <t>[Threaded comment]
Your version of Excel allows you to read this threaded comment; however, any edits to it will get removed if the file is opened in a newer version of Excel. Learn more: https://go.microsoft.com/fwlink/?linkid=870924
Comment:
    410 €/metric ton
https://www.methanex.com/our-business/pricing
0,41€/kg
0,336 $/kg</t>
      </text>
    </comment>
    <comment ref="B17" authorId="14" shapeId="0" xr:uid="{445BDC4F-5CCE-AA48-9C91-71B29814525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https://www.pharmacompass.com/price/monoethanolamine</t>
      </text>
    </comment>
    <comment ref="B18" authorId="15" shapeId="0" xr:uid="{06B417CC-2CD3-A647-9A4C-754FD7999305}">
      <text>
        <t>[Threaded comment]
Your version of Excel allows you to read this threaded comment; however, any edits to it will get removed if the file is opened in a newer version of Excel. Learn more: https://go.microsoft.com/fwlink/?linkid=870924
Comment:
    11,5 cent/TON-HR
https://ihsmarkit.com/pdf/RW2010-14_220240110917062932.pdf
Reply:
    0,032699691 $/kWh</t>
      </text>
    </comment>
    <comment ref="B19" authorId="16" shapeId="0" xr:uid="{59CDF00E-D219-234C-81D2-3E0444B46213}">
      <text>
        <t>[Threaded comment]
Your version of Excel allows you to read this threaded comment; however, any edits to it will get removed if the file is opened in a newer version of Excel. Learn more: https://go.microsoft.com/fwlink/?linkid=870924
Comment:
    0,0284 €/kwh S2 2020
https://ec.europa.eu/eurostat/databrowser/view/nrg_pc_202/default/table?lang=en</t>
      </text>
    </comment>
    <comment ref="B20" authorId="17" shapeId="0" xr:uid="{B386D4B2-17D2-984C-BB76-80A2F8E91128}">
      <text>
        <t>[Threaded comment]
Your version of Excel allows you to read this threaded comment; however, any edits to it will get removed if the file is opened in a newer version of Excel. Learn more: https://go.microsoft.com/fwlink/?linkid=870924
Comment:
    7,04$/(10^3*LB)
https://ihsmarkit.com/pdf/RW2010-14_220240110917062932.pdf
15,52$/kg</t>
      </text>
    </comment>
    <comment ref="B21" authorId="18" shapeId="0" xr:uid="{226453DD-DA17-094D-B639-99F0E3A77ED3}">
      <text>
        <t>[Threaded comment]
Your version of Excel allows you to read this threaded comment; however, any edits to it will get removed if the file is opened in a newer version of Excel. Learn more: https://go.microsoft.com/fwlink/?linkid=870924
Comment:
    30cent/Lb
https://ihsmarkit.com/pdf/RW2010-14_220240110917062932.pdf</t>
      </text>
    </comment>
    <comment ref="B22" authorId="19" shapeId="0" xr:uid="{619795E0-0CFA-D146-A778-A301236643C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https://www.nrel.gov/docs/fy02osti/32438.pdf</t>
      </text>
    </comment>
    <comment ref="B23" authorId="20" shapeId="0" xr:uid="{83F8E519-9CC1-FD45-97F2-126B6A670712}">
      <text>
        <t>[Threaded comment]
Your version of Excel allows you to read this threaded comment; however, any edits to it will get removed if the file is opened in a newer version of Excel. Learn more: https://go.microsoft.com/fwlink/?linkid=870924
Comment:
    1,24$/(gal*10^3)
https://ihsmarkit.com/pdf/RW2010-14_220240110917062932.pdf</t>
      </text>
    </comment>
    <comment ref="B24" authorId="21" shapeId="0" xr:uid="{CF8EF112-368B-FD44-93AE-6A00B07F1285}">
      <text>
        <t>[Threaded comment]
Your version of Excel allows you to read this threaded comment; however, any edits to it will get removed if the file is opened in a newer version of Excel. Learn more: https://go.microsoft.com/fwlink/?linkid=870924
Comment:
    65-150$/ton
https://ditaichem.en.made-in-china.com/product/fvJQwCHxHNWY/China-Refractory-Forsterite-Calcined-Olivine-Sand-for-Foundry.html</t>
      </text>
    </comment>
    <comment ref="B25" authorId="22" shapeId="0" xr:uid="{0710D2E8-7DD9-6E4C-8340-B3CCE7FC1035}">
      <text>
        <t>[Threaded comment]
Your version of Excel allows you to read this threaded comment; however, any edits to it will get removed if the file is opened in a newer version of Excel. Learn more: https://go.microsoft.com/fwlink/?linkid=870924
Comment:
    150-200$/ton
https://www.alibaba.com/product-detail/Magnesium-Oxide-Industry-Magnesium-Oxide-Producers_62058751813.html?spm=a2700.galleryofferlist.normal_offer.d_title.3eb77b05GuAeXi&amp;s=p</t>
      </text>
    </comment>
    <comment ref="B26" authorId="23" shapeId="0" xr:uid="{0C563000-1B35-EB4C-80A3-01A4DB0E010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https://pubs.acs.org/doi/pdf/10.1021/sc4000384</t>
      </text>
    </comment>
    <comment ref="B27" authorId="24" shapeId="0" xr:uid="{5A32F914-990D-9D4D-B503-0B207F78E754}">
      <text>
        <t>[Threaded comment]
Your version of Excel allows you to read this threaded comment; however, any edits to it will get removed if the file is opened in a newer version of Excel. Learn more: https://go.microsoft.com/fwlink/?linkid=870924
Comment:
    0,0552$/lb
https://www.nrel.gov/docs/fy02osti/32438.pdf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tc={8FE9FD4E-BD6D-F54A-B6BA-67D294EDA2E2}</author>
  </authors>
  <commentList>
    <comment ref="A1" authorId="0" shapeId="0" xr:uid="{8FE9FD4E-BD6D-F54A-B6BA-67D294EDA2E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https://www.sciencedirect.com/science/article/pii/S0961953404000613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tc={1AFF797C-CE6A-E343-9FF4-1E9CC2870E31}</author>
  </authors>
  <commentList>
    <comment ref="G12" authorId="0" shapeId="0" xr:uid="{1AFF797C-CE6A-E343-9FF4-1E9CC2870E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Citer india, asumed
 to be recycled
Reply:
    5,66kg/kg but set to zero as assumed to be 100% recycled
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tc={1DD8DF26-30A4-454D-83E6-EBB1D5B04F04}</author>
  </authors>
  <commentList>
    <comment ref="H2" authorId="0" shapeId="0" xr:uid="{1DD8DF26-30A4-454D-83E6-EBB1D5B04F04}">
      <text>
        <t>[Threaded comment]
Your version of Excel allows you to read this threaded comment; however, any edits to it will get removed if the file is opened in a newer version of Excel. Learn more: https://go.microsoft.com/fwlink/?linkid=870924
Comment:
https://link.springer.com/article/10.1007/s00449-015-1497-1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tc={8FFC8624-9689-5948-B662-C889163A1970}</author>
    <author>tc={C7C2D8C3-F4DC-AA43-90C3-8A56FA59D2BA}</author>
    <author>tc={71E2FCB7-C02B-CA4D-9D85-406D80FB10D0}</author>
    <author>tc={18874896-C3E4-9946-9E32-28E2CC0EF6E3}</author>
    <author>tc={A44DB6D7-F22B-8D4C-A0F2-C2111E539C15}</author>
  </authors>
  <commentList>
    <comment ref="F1" authorId="0" shapeId="0" xr:uid="{8FFC8624-9689-5948-B662-C889163A197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https://biotechnologyforbiofuels.biomedcentral.com/articles/10.1186/s13068-018-1143-7
Reply:
    Highest productivity - Highest concentration
</t>
      </text>
    </comment>
    <comment ref="G1" authorId="1" shapeId="0" xr:uid="{C7C2D8C3-F4DC-AA43-90C3-8A56FA59D2B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https://biotechnologyforbiofuels.biomedcentral.com/articles/10.1186/s13068-018-1143-7
Reply:
    Highest productivity
</t>
      </text>
    </comment>
    <comment ref="H1" authorId="2" shapeId="0" xr:uid="{71E2FCB7-C02B-CA4D-9D85-406D80FB10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https://biotechnologyforbiofuels.biomedcentral.com/articles/10.1186/s13068-018-1143-7
Reply:
    Highest concentration (and utilisation) as productivity fairly constant
</t>
      </text>
    </comment>
    <comment ref="I1" authorId="3" shapeId="0" xr:uid="{18874896-C3E4-9946-9E32-28E2CC0EF6E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https://academic.oup.com/femsle/article/362/2/1/2467478</t>
      </text>
    </comment>
    <comment ref="J1" authorId="4" shapeId="0" xr:uid="{A44DB6D7-F22B-8D4C-A0F2-C2111E539C1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https://pubs.acs.org/doi/suppl/10.1021/acssuschemeng.0c08055/suppl_file/sc0c08055_si_001.pdf
https://pubs.acs.org/doi/abs/10.1021/acssuschemeng.0c08055</t>
      </text>
    </comment>
  </commentList>
</comments>
</file>

<file path=xl/sharedStrings.xml><?xml version="1.0" encoding="utf-8"?>
<sst xmlns="http://schemas.openxmlformats.org/spreadsheetml/2006/main" count="342" uniqueCount="121">
  <si>
    <t>Lime</t>
  </si>
  <si>
    <t>AFEX</t>
  </si>
  <si>
    <t>LHW</t>
  </si>
  <si>
    <t>SHF_Cell_To_Glu</t>
  </si>
  <si>
    <t>SHF_HC_To_Xyl</t>
  </si>
  <si>
    <t>cellulose</t>
  </si>
  <si>
    <t>HC</t>
  </si>
  <si>
    <t>lignin</t>
  </si>
  <si>
    <t>MILL1.4mm</t>
  </si>
  <si>
    <t>MILL3mm</t>
  </si>
  <si>
    <t>MILL10mm</t>
  </si>
  <si>
    <t>MILL0.853mm</t>
  </si>
  <si>
    <t>MILL0.15mm</t>
  </si>
  <si>
    <t>Dilute Acid</t>
  </si>
  <si>
    <t>Ionic Liquid</t>
  </si>
  <si>
    <t>Steam Explosion</t>
  </si>
  <si>
    <t>Lignin_S</t>
  </si>
  <si>
    <t>Lignin_L</t>
  </si>
  <si>
    <t>Cellulose</t>
  </si>
  <si>
    <t>Hemicellulose</t>
  </si>
  <si>
    <t>Xylose</t>
  </si>
  <si>
    <t>Glucose</t>
  </si>
  <si>
    <t>Succinic Acid</t>
  </si>
  <si>
    <t>Glycolic Acid</t>
  </si>
  <si>
    <t>Formic Acid</t>
  </si>
  <si>
    <t>Phenolic</t>
  </si>
  <si>
    <t>Furfural</t>
  </si>
  <si>
    <t>HMF</t>
  </si>
  <si>
    <t>Acetic Acid</t>
  </si>
  <si>
    <t>Max Size</t>
  </si>
  <si>
    <t>Size</t>
  </si>
  <si>
    <t>Glucose to product</t>
  </si>
  <si>
    <t>Xylose to product</t>
  </si>
  <si>
    <t>Strain1</t>
  </si>
  <si>
    <t>Strain3</t>
  </si>
  <si>
    <t>SSCF</t>
  </si>
  <si>
    <t>SHCF</t>
  </si>
  <si>
    <t>Strain2</t>
  </si>
  <si>
    <t>Ethanol Fermentation</t>
  </si>
  <si>
    <t>Succinic Acid Fermentation</t>
  </si>
  <si>
    <t>Lactic Acid Fermentation</t>
  </si>
  <si>
    <t>Strain4</t>
  </si>
  <si>
    <t>SSF_HC_To_P</t>
  </si>
  <si>
    <t>SSF_Cell_To_P</t>
  </si>
  <si>
    <t>SSF_S</t>
  </si>
  <si>
    <t>SSF_L</t>
  </si>
  <si>
    <t>SHF_L</t>
  </si>
  <si>
    <t>SHF_S</t>
  </si>
  <si>
    <t>SHCF_Cell_To_Glu</t>
  </si>
  <si>
    <t>SHCF_HC_To_Xyl</t>
  </si>
  <si>
    <t>SSCF_Cell_To_P</t>
  </si>
  <si>
    <t>SSCF_HC_To_P</t>
  </si>
  <si>
    <t>Xylose to product cofermentation</t>
  </si>
  <si>
    <t>Iron (II) chloride kg</t>
  </si>
  <si>
    <t>Calcium hydroxide kg</t>
  </si>
  <si>
    <t>Monoethanolamine kg</t>
  </si>
  <si>
    <t>Water kg</t>
  </si>
  <si>
    <t>RNG  kWh</t>
  </si>
  <si>
    <t>Heat kWh</t>
  </si>
  <si>
    <t>Strain5</t>
  </si>
  <si>
    <t>Strain6</t>
  </si>
  <si>
    <t>Strain7</t>
  </si>
  <si>
    <t>Strain8</t>
  </si>
  <si>
    <t>Strain9</t>
  </si>
  <si>
    <t>Steam 150 psig kg</t>
  </si>
  <si>
    <t>LP-Steam kwh</t>
  </si>
  <si>
    <t>MeOH kg</t>
  </si>
  <si>
    <t>Gypsum disposal kg</t>
  </si>
  <si>
    <t>Cooling water  kwh</t>
  </si>
  <si>
    <t>Recovery</t>
  </si>
  <si>
    <t>Electricity kwh</t>
  </si>
  <si>
    <t>Tri-n-octylamine (0,25 mol/kg) in 1-octanol  kg</t>
  </si>
  <si>
    <t>Refrigeration  -15,5°C kwh</t>
  </si>
  <si>
    <t>Utility price $</t>
  </si>
  <si>
    <t>Cyclohexane kg</t>
  </si>
  <si>
    <t>Price $</t>
  </si>
  <si>
    <t>Capacity</t>
  </si>
  <si>
    <t>P1</t>
  </si>
  <si>
    <t>P2</t>
  </si>
  <si>
    <t>P3</t>
  </si>
  <si>
    <t>P4</t>
  </si>
  <si>
    <t>P5</t>
  </si>
  <si>
    <t>P6</t>
  </si>
  <si>
    <t>P7</t>
  </si>
  <si>
    <t>Name</t>
  </si>
  <si>
    <t>HCL kg</t>
  </si>
  <si>
    <t>Waste to landfill kg</t>
  </si>
  <si>
    <t>Manure Process 1</t>
  </si>
  <si>
    <t>Manure Process 2</t>
  </si>
  <si>
    <t>Wheat Straw1</t>
  </si>
  <si>
    <t>Wheat Straw2</t>
  </si>
  <si>
    <t>Barley Straw1</t>
  </si>
  <si>
    <t>Barley Straw2</t>
  </si>
  <si>
    <t>Ethylene Glycol kg</t>
  </si>
  <si>
    <t>H2SO4 kg</t>
  </si>
  <si>
    <t>Olivine kg</t>
  </si>
  <si>
    <t>Magnesium oxide kg</t>
  </si>
  <si>
    <t>Ammonia kg</t>
  </si>
  <si>
    <t>Process 1</t>
  </si>
  <si>
    <t>Ionic Liquid mat. kg</t>
  </si>
  <si>
    <t>Lime mat. kg</t>
  </si>
  <si>
    <t>Cooling kwh</t>
  </si>
  <si>
    <t>Enzyme kg</t>
  </si>
  <si>
    <t>Manure</t>
  </si>
  <si>
    <t>Price</t>
  </si>
  <si>
    <t>Lactic Acid</t>
  </si>
  <si>
    <t>Ethanol</t>
  </si>
  <si>
    <t>Wheat Straw3</t>
  </si>
  <si>
    <t>Barley Straw3</t>
  </si>
  <si>
    <t>Components</t>
  </si>
  <si>
    <t>P8</t>
  </si>
  <si>
    <t>f6</t>
  </si>
  <si>
    <t>f7</t>
  </si>
  <si>
    <t>f8</t>
  </si>
  <si>
    <t>f1</t>
  </si>
  <si>
    <t>f2</t>
  </si>
  <si>
    <t>f3</t>
  </si>
  <si>
    <t>f4</t>
  </si>
  <si>
    <t>f5</t>
  </si>
  <si>
    <t>Raw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</si>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</sst>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trike/>
      <sz val="10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Arial"/>
      <family val="2"/>
    </font>
    <font>
      <sz val="10"/>
      <color theme="1"/>
      <name val="AdvOT2e364b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2" fillId="0" borderId="0" xfId="0" applyFont="1" applyAlignment="1">
      <alignment vertical="top"/>
    </xf>
    <xf numFmtId="0" fontId="6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lien rappazzo" id="{2C6EB8E4-CC14-C946-85AE-1845B5B6BD7A}" userId="69967ec8bc8fa56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6-03T07:25:00.23" personId="{2C6EB8E4-CC14-C946-85AE-1845B5B6BD7A}" id="{C0C8A2DE-D32C-924E-B531-1ECF80CC2758}">
    <text>500 ton/day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1" dT="2021-06-02T19:45:16.35" personId="{2C6EB8E4-CC14-C946-85AE-1845B5B6BD7A}" id="{9DA2E52D-E045-204C-AEA5-46F83B68A8B0}">
    <text>https://www.sciencedirect.com/science/article/pii/S030626191200116X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3T15:26:11.24" personId="{2C6EB8E4-CC14-C946-85AE-1845B5B6BD7A}" id="{F5E917BF-CBE4-1B42-922F-B652C1021106}">
    <text>https://www.sciencedirect.com/science/article/abs/pii/0141460781900263</text>
  </threadedComment>
  <threadedComment ref="B5" dT="2021-06-06T09:39:16.11" personId="{2C6EB8E4-CC14-C946-85AE-1845B5B6BD7A}" id="{276B7BC0-F5D9-C144-8842-105D29876836}">
    <text>100€/ton
https://bioboost.eu/uploads/files/bioboost_d1.1-syncom_feedstock_cost-vers_1.0-final.pdf</text>
  </threadedComment>
  <threadedComment ref="C5" dT="2021-06-06T09:39:16.11" personId="{2C6EB8E4-CC14-C946-85AE-1845B5B6BD7A}" id="{3B46540E-9AA3-6B40-BD4D-04DA96225A56}">
    <text>100€/ton
https://bioboost.eu/uploads/files/bioboost_d1.1-syncom_feedstock_cost-vers_1.0-final.pdf</text>
  </threadedComment>
  <threadedComment ref="D5" dT="2021-06-06T09:39:16.11" personId="{2C6EB8E4-CC14-C946-85AE-1845B5B6BD7A}" id="{9DAAB6B3-EFFC-BC42-8C4E-0A972613E474}">
    <text>100€/ton
https://bioboost.eu/uploads/files/bioboost_d1.1-syncom_feedstock_cost-vers_1.0-final.pdf</text>
  </threadedComment>
  <threadedComment ref="C11" dT="2021-06-03T15:26:11.24" personId="{2C6EB8E4-CC14-C946-85AE-1845B5B6BD7A}" id="{55B06D2B-3B8F-8F4E-8017-04A190CBFBBE}">
    <text>https://www.sciencedirect.com/science/article/abs/pii/0141460781900263</text>
  </threadedComment>
  <threadedComment ref="D15" dT="2021-06-06T09:39:16.11" personId="{2C6EB8E4-CC14-C946-85AE-1845B5B6BD7A}" id="{11A6BA38-AC67-7E43-9D4D-61B6E3943313}">
    <text>100€/ton
https://bioboost.eu/uploads/files/bioboost_d1.1-syncom_feedstock_cost-vers_1.0-final.pdf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3T15:26:11.24" personId="{2C6EB8E4-CC14-C946-85AE-1845B5B6BD7A}" id="{47A850DC-05DB-A24B-A8BA-C4548922642F}">
    <text>https://www.sciencedirect.com/science/article/abs/pii/0141460781900263</text>
  </threadedComment>
  <threadedComment ref="B5" dT="2021-06-06T09:39:16.11" personId="{2C6EB8E4-CC14-C946-85AE-1845B5B6BD7A}" id="{EFB38C47-5F01-EC40-A6B4-0377B236350F}">
    <text>100€/ton
https://bioboost.eu/uploads/files/bioboost_d1.1-syncom_feedstock_cost-vers_1.0-final.pdf</text>
  </threadedComment>
  <threadedComment ref="C5" dT="2021-06-06T09:39:16.11" personId="{2C6EB8E4-CC14-C946-85AE-1845B5B6BD7A}" id="{24ACBA06-03F0-5B4C-8E99-466A6050E9C1}">
    <text>100€/ton
https://bioboost.eu/uploads/files/bioboost_d1.1-syncom_feedstock_cost-vers_1.0-final.pdf</text>
  </threadedComment>
  <threadedComment ref="D5" dT="2021-06-06T09:39:16.11" personId="{2C6EB8E4-CC14-C946-85AE-1845B5B6BD7A}" id="{6AB5B397-C9A8-F142-8517-B58482688DDE}">
    <text>100€/ton
https://bioboost.eu/uploads/files/bioboost_d1.1-syncom_feedstock_cost-vers_1.0-final.pdf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2" dT="2021-06-06T15:45:30.20" personId="{2C6EB8E4-CC14-C946-85AE-1845B5B6BD7A}" id="{65A6ED92-D0B6-6248-AF19-DF770BEABF4E}">
    <text xml:space="preserve">
1600-2000$/ton
https://smbb.mx/congresos%20smbb/cancun13/TRABAJOS/Plenary/Villadsen.pdf
</text>
  </threadedComment>
  <threadedComment ref="C2" dT="2021-06-06T15:49:55.59" personId="{2C6EB8E4-CC14-C946-85AE-1845B5B6BD7A}" id="{33A5F62F-4588-5C46-B5C6-82576B0A2EA6}">
    <text>https://www.pharmacompass.com/price/lactic-acid</text>
  </threadedComment>
  <threadedComment ref="D2" dT="2021-06-06T15:57:49.95" personId="{2C6EB8E4-CC14-C946-85AE-1845B5B6BD7A}" id="{79889F10-4671-6549-85FE-7AB912ED0D7D}">
    <text>https://ogst.ifpenergiesnouvelles.fr/articles/ogst/full_html/2020/01/ogst190301/ogst190301.html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2" dT="2021-06-02T18:05:29.25" personId="{2C6EB8E4-CC14-C946-85AE-1845B5B6BD7A}" id="{3C8E6573-420B-164D-ADDA-210F4493E5C8}">
    <text>650$/ton
https://www.echemi.com/productsInformation/pid_Rock19411-ammonia.html</text>
  </threadedComment>
  <threadedComment ref="B3" dT="2021-06-02T21:22:22.39" personId="{2C6EB8E4-CC14-C946-85AE-1845B5B6BD7A}" id="{64B9E633-021F-ED47-9C9C-9A2ABB6760C4}">
    <text xml:space="preserve">
80-100$/ton
https://www.alibaba.com/product-detail/Calcium-Hydroxide-Factory-Direct-White-Powder_1600227110322.html?spm=a2700.7724857.normal_offer.d_image.5ed9229eUO5hqA&amp;s=p</text>
  </threadedComment>
  <threadedComment ref="B5" dT="2021-06-02T16:18:00.85" personId="{2C6EB8E4-CC14-C946-85AE-1845B5B6BD7A}" id="{043F510D-2C00-E842-9E6E-BCA9AF2800AA}">
    <text>1400-2000$/ton
https://sinowin.en.made-in-china.com/product/rSbxomnvYsUl/China-CAS-110-82-7-High-Quality-Industrial-Liquid-Cyclohexane.html</text>
  </threadedComment>
  <threadedComment ref="B6" dT="2021-06-02T10:55:36.85" personId="{2C6EB8E4-CC14-C946-85AE-1845B5B6BD7A}" id="{B052F22E-7196-B648-A8EE-E2D1C7AF76E9}">
    <text xml:space="preserve">0,0686€/kWh
https://ec.europa.eu/eurostat/statistics-explained/index.php?title=Electricity_price_statistics#Electricity_prices_for_non-household_consumers
</text>
  </threadedComment>
  <threadedComment ref="B7" dT="2021-06-02T15:24:48.93" personId="{2C6EB8E4-CC14-C946-85AE-1845B5B6BD7A}" id="{0093237C-3053-2F4C-BAA3-07F678F40849}">
    <text>850€/ton
https://www.echemi.com/productsInformation/pid_Seven2471-ethylene-glycol-eg.html</text>
  </threadedComment>
  <threadedComment ref="B8" dT="2021-06-02T09:42:41.34" personId="{2C6EB8E4-CC14-C946-85AE-1845B5B6BD7A}" id="{03E98591-4174-3C41-B2CE-FCA9703EBD6F}">
    <text>0,0094 $/lb
https://www.nrel.gov/docs/fy02osti/32438.pdf
0,020723104 $/kg</text>
  </threadedComment>
  <threadedComment ref="B9" dT="2021-06-02T09:32:28.73" personId="{2C6EB8E4-CC14-C946-85AE-1845B5B6BD7A}" id="{30894C46-9BB3-0B4E-9AA2-83FE654F92B6}">
    <text>https://pubs.acs.org/doi/suppl/10.1021/acssuschemeng.0c08055/suppl_file/sc0c08055_si_001.pdf</text>
  </threadedComment>
  <threadedComment ref="B10" dT="2021-06-02T12:50:57.55" personId="{2C6EB8E4-CC14-C946-85AE-1845B5B6BD7A}" id="{56235933-402A-8940-9A60-4D911B6ACBBF}">
    <text>8,4 cent/Lb
https://ihsmarkit.com/pdf/RW2010-14_220240110917062932.pdf</text>
  </threadedComment>
  <threadedComment ref="B11" dT="2021-06-05T20:01:14.43" personId="{2C6EB8E4-CC14-C946-85AE-1845B5B6BD7A}" id="{0B69E0DF-C2A4-BB49-B980-389E23A069D5}">
    <text>https://pubs.acs.org/doi/pdf/10.1021/sc4000384</text>
  </threadedComment>
  <threadedComment ref="B12" dT="2021-06-02T18:35:28.35" personId="{2C6EB8E4-CC14-C946-85AE-1845B5B6BD7A}" id="{B49E4BC6-C493-E24E-A854-47E33093DFF8}">
    <text>https://proionic.com/bestseller/EMIM-OAc.php</text>
  </threadedComment>
  <threadedComment ref="B13" dT="2021-06-02T21:44:00.25" personId="{2C6EB8E4-CC14-C946-85AE-1845B5B6BD7A}" id="{86CE7DC2-8CC5-9A4D-85FA-D7E4747F7E19}">
    <text>240-360$/ton
https://www.alibaba.com/product-detail/Ferric-Chloride-Chloride-Ferric-Chloride-Price_62095133477.html?spm=a2700.7724857.normal_offer.d_image.5466156870qa88&amp;s=p</text>
  </threadedComment>
  <threadedComment ref="B14" dT="2021-06-02T21:22:22.39" personId="{2C6EB8E4-CC14-C946-85AE-1845B5B6BD7A}" id="{3609E210-49BE-CD45-ABF6-0FC44598D0C4}">
    <text xml:space="preserve">
80-100$/ton
https://www.alibaba.com/product-detail/Calcium-Hydroxide-Factory-Direct-White-Powder_1600227110322.html?spm=a2700.7724857.normal_offer.d_image.5ed9229eUO5hqA&amp;s=p</text>
  </threadedComment>
  <threadedComment ref="B15" dT="2021-06-02T09:34:19.34" personId="{2C6EB8E4-CC14-C946-85AE-1845B5B6BD7A}" id="{D0709A98-78D6-C64B-88C1-7946073BDC91}">
    <text>0,007 $/MJ
https://publications.polymtl.ca/1750/1/2015_HanaLee.pdf
0,0252 $/kWh</text>
  </threadedComment>
  <threadedComment ref="B16" dT="2021-06-02T09:37:57.18" personId="{2C6EB8E4-CC14-C946-85AE-1845B5B6BD7A}" id="{8EA32616-C3C8-E842-B246-26273BCD5F61}">
    <text>410 €/metric ton
https://www.methanex.com/our-business/pricing
0,41€/kg
0,336 $/kg</text>
  </threadedComment>
  <threadedComment ref="B17" dT="2021-06-02T20:57:48.75" personId="{2C6EB8E4-CC14-C946-85AE-1845B5B6BD7A}" id="{445BDC4F-5CCE-AA48-9C91-71B298145259}">
    <text>https://www.pharmacompass.com/price/monoethanolamine</text>
  </threadedComment>
  <threadedComment ref="B18" dT="2021-06-02T12:46:59.25" personId="{2C6EB8E4-CC14-C946-85AE-1845B5B6BD7A}" id="{06B417CC-2CD3-A647-9A4C-754FD7999305}">
    <text>11,5 cent/TON-HR
https://ihsmarkit.com/pdf/RW2010-14_220240110917062932.pdf</text>
  </threadedComment>
  <threadedComment ref="B18" dT="2021-06-02T12:47:14.66" personId="{2C6EB8E4-CC14-C946-85AE-1845B5B6BD7A}" id="{35CE3E19-47E1-2747-8656-95F6D11936FC}" parentId="{06B417CC-2CD3-A647-9A4C-754FD7999305}">
    <text>0,032699691 $/kWh</text>
  </threadedComment>
  <threadedComment ref="B19" dT="2021-06-02T20:52:41.59" personId="{2C6EB8E4-CC14-C946-85AE-1845B5B6BD7A}" id="{59CDF00E-D219-234C-81D2-3E0444B46213}">
    <text>0,0284 €/kwh S2 2020
https://ec.europa.eu/eurostat/databrowser/view/nrg_pc_202/default/table?lang=en</text>
  </threadedComment>
  <threadedComment ref="B20" dT="2021-06-02T12:48:41.69" personId="{2C6EB8E4-CC14-C946-85AE-1845B5B6BD7A}" id="{B386D4B2-17D2-984C-BB76-80A2F8E91128}">
    <text>7,04$/(10^3*LB)
https://ihsmarkit.com/pdf/RW2010-14_220240110917062932.pdf
15,52$/kg</text>
  </threadedComment>
  <threadedComment ref="B21" dT="2021-06-02T12:51:20.63" personId="{2C6EB8E4-CC14-C946-85AE-1845B5B6BD7A}" id="{226453DD-DA17-094D-B639-99F0E3A77ED3}">
    <text>30cent/Lb
https://ihsmarkit.com/pdf/RW2010-14_220240110917062932.pdf</text>
  </threadedComment>
  <threadedComment ref="B22" dT="2021-06-02T19:53:25.81" personId="{2C6EB8E4-CC14-C946-85AE-1845B5B6BD7A}" id="{619795E0-0CFA-D146-A778-A301236643C7}">
    <text>https://www.nrel.gov/docs/fy02osti/32438.pdf</text>
  </threadedComment>
  <threadedComment ref="B23" dT="2021-06-02T12:55:05.54" personId="{2C6EB8E4-CC14-C946-85AE-1845B5B6BD7A}" id="{83F8E519-9CC1-FD45-97F2-126B6A670712}">
    <text>1,24$/(gal*10^3)
https://ihsmarkit.com/pdf/RW2010-14_220240110917062932.pdf</text>
  </threadedComment>
  <threadedComment ref="B24" dT="2021-06-02T21:39:25.39" personId="{2C6EB8E4-CC14-C946-85AE-1845B5B6BD7A}" id="{CF8EF112-368B-FD44-93AE-6A00B07F1285}">
    <text>65-150$/ton
https://ditaichem.en.made-in-china.com/product/fvJQwCHxHNWY/China-Refractory-Forsterite-Calcined-Olivine-Sand-for-Foundry.html</text>
  </threadedComment>
  <threadedComment ref="B25" dT="2021-06-02T21:28:54.07" personId="{2C6EB8E4-CC14-C946-85AE-1845B5B6BD7A}" id="{0710D2E8-7DD9-6E4C-8340-B3CCE7FC1035}">
    <text>150-200$/ton
https://www.alibaba.com/product-detail/Magnesium-Oxide-Industry-Magnesium-Oxide-Producers_62058751813.html?spm=a2700.galleryofferlist.normal_offer.d_title.3eb77b05GuAeXi&amp;s=p</text>
  </threadedComment>
  <threadedComment ref="B26" dT="2021-06-05T20:01:00.04" personId="{2C6EB8E4-CC14-C946-85AE-1845B5B6BD7A}" id="{0C563000-1B35-EB4C-80A3-01A4DB0E0107}">
    <text>https://pubs.acs.org/doi/pdf/10.1021/sc4000384</text>
  </threadedComment>
  <threadedComment ref="B27" dT="2021-06-06T07:55:39.14" personId="{2C6EB8E4-CC14-C946-85AE-1845B5B6BD7A}" id="{5A32F914-990D-9D4D-B503-0B207F78E754}">
    <text>0,0552$/lb
https://www.nrel.gov/docs/fy02osti/32438.pdf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1-06-05T15:22:36.18" personId="{2C6EB8E4-CC14-C946-85AE-1845B5B6BD7A}" id="{8FE9FD4E-BD6D-F54A-B6BA-67D294EDA2E2}">
    <text>https://www.sciencedirect.com/science/article/pii/S0961953404000613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12" dT="2021-06-02T18:16:03.01" personId="{2C6EB8E4-CC14-C946-85AE-1845B5B6BD7A}" id="{1AFF797C-CE6A-E343-9FF4-1E9CC2870E31}">
    <text>Citer india, asumed
 to be recycled</text>
  </threadedComment>
  <threadedComment ref="G12" dT="2021-06-02T18:34:23.72" personId="{2C6EB8E4-CC14-C946-85AE-1845B5B6BD7A}" id="{ACD338A1-1BCD-C543-A92E-86D2F88D137B}" parentId="{1AFF797C-CE6A-E343-9FF4-1E9CC2870E31}">
    <text xml:space="preserve">5,66kg/kg but set to zero as assumed to be 100% recycled
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2" dT="2021-06-06T07:55:39.14" personId="{2C6EB8E4-CC14-C946-85AE-1845B5B6BD7A}" id="{1DD8DF26-30A4-454D-83E6-EBB1D5B04F04}">
    <text xml:space="preserve">
https://link.springer.com/article/10.1007/s00449-015-1497-1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1" dT="2021-05-31T09:09:49.17" personId="{2C6EB8E4-CC14-C946-85AE-1845B5B6BD7A}" id="{8FFC8624-9689-5948-B662-C889163A1970}">
    <text xml:space="preserve">https://biotechnologyforbiofuels.biomedcentral.com/articles/10.1186/s13068-018-1143-7
</text>
  </threadedComment>
  <threadedComment ref="F1" dT="2021-05-31T11:41:02.94" personId="{2C6EB8E4-CC14-C946-85AE-1845B5B6BD7A}" id="{81D08F29-1798-2149-82C0-94B30DC8BA6D}" parentId="{8FFC8624-9689-5948-B662-C889163A1970}">
    <text xml:space="preserve">Highest productivity - Highest concentration
</text>
  </threadedComment>
  <threadedComment ref="G1" dT="2021-05-31T09:09:49.17" personId="{2C6EB8E4-CC14-C946-85AE-1845B5B6BD7A}" id="{C7C2D8C3-F4DC-AA43-90C3-8A56FA59D2BA}">
    <text xml:space="preserve">https://biotechnologyforbiofuels.biomedcentral.com/articles/10.1186/s13068-018-1143-7
</text>
  </threadedComment>
  <threadedComment ref="G1" dT="2021-05-31T11:41:02.94" personId="{2C6EB8E4-CC14-C946-85AE-1845B5B6BD7A}" id="{ADF8848A-0DF5-EB46-B38E-6346A63780D4}" parentId="{C7C2D8C3-F4DC-AA43-90C3-8A56FA59D2BA}">
    <text xml:space="preserve">Highest productivity
</text>
  </threadedComment>
  <threadedComment ref="H1" dT="2021-05-31T09:09:49.17" personId="{2C6EB8E4-CC14-C946-85AE-1845B5B6BD7A}" id="{71E2FCB7-C02B-CA4D-9D85-406D80FB10D0}">
    <text xml:space="preserve">https://biotechnologyforbiofuels.biomedcentral.com/articles/10.1186/s13068-018-1143-7
</text>
  </threadedComment>
  <threadedComment ref="H1" dT="2021-05-31T11:41:02.94" personId="{2C6EB8E4-CC14-C946-85AE-1845B5B6BD7A}" id="{30C435DA-6826-6743-B569-A7E411A5B5E5}" parentId="{71E2FCB7-C02B-CA4D-9D85-406D80FB10D0}">
    <text xml:space="preserve">Highest concentration (and utilisation) as productivity fairly constant
</text>
  </threadedComment>
  <threadedComment ref="I1" dT="2021-05-31T15:39:47.33" personId="{2C6EB8E4-CC14-C946-85AE-1845B5B6BD7A}" id="{18874896-C3E4-9946-9E32-28E2CC0EF6E3}">
    <text>https://academic.oup.com/femsle/article/362/2/1/2467478</text>
  </threadedComment>
  <threadedComment ref="J1" dT="2021-05-31T17:41:04.36" personId="{2C6EB8E4-CC14-C946-85AE-1845B5B6BD7A}" id="{A44DB6D7-F22B-8D4C-A0F2-C2111E539C15}">
    <text>https://pubs.acs.org/doi/suppl/10.1021/acssuschemeng.0c08055/suppl_file/sc0c08055_si_001.pdf
https://pubs.acs.org/doi/abs/10.1021/acssuschemeng.0c08055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52459-6600-5446-A500-5094C4EE9246}">
  <dimension ref="A1:L11"/>
  <sheetViews>
    <sheetView workbookViewId="0">
      <selection activeCell="B3" sqref="B3"/>
    </sheetView>
  </sheetViews>
  <sheetFormatPr baseColWidth="10" defaultRowHeight="16"/>
  <cols>
    <col min="1" max="1" width="23.5" customWidth="1"/>
  </cols>
  <sheetData>
    <row r="1" spans="1:12">
      <c r="B1" t="s">
        <v>76</v>
      </c>
    </row>
    <row r="2" spans="1:12">
      <c r="A2" t="s">
        <v>38</v>
      </c>
      <c r="B2">
        <v>15000</v>
      </c>
    </row>
    <row r="3" spans="1:12">
      <c r="A3" t="s">
        <v>39</v>
      </c>
      <c r="B3">
        <v>6250</v>
      </c>
    </row>
    <row r="4" spans="1:12">
      <c r="A4" t="s">
        <v>40</v>
      </c>
      <c r="B4">
        <v>6250</v>
      </c>
    </row>
    <row r="9" spans="1:12" ht="17">
      <c r="F9" s="8"/>
    </row>
    <row r="10" spans="1:12">
      <c r="K10" s="11"/>
      <c r="L10" s="11"/>
    </row>
    <row r="11" spans="1:12">
      <c r="K11" s="11"/>
      <c r="L11" s="1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2089-FCBD-5445-B3D3-0103E7B5BFEC}">
  <dimension ref="A1:G2"/>
  <sheetViews>
    <sheetView workbookViewId="0">
      <selection activeCell="B1" sqref="B1:G1"/>
    </sheetView>
  </sheetViews>
  <sheetFormatPr baseColWidth="10" defaultRowHeight="16"/>
  <cols>
    <col min="7" max="7" width="15" customWidth="1"/>
  </cols>
  <sheetData>
    <row r="1" spans="1:7"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7">
      <c r="A2" t="s">
        <v>29</v>
      </c>
      <c r="B2">
        <v>3</v>
      </c>
      <c r="C2">
        <v>1.4</v>
      </c>
      <c r="D2">
        <v>10</v>
      </c>
      <c r="E2">
        <v>0.15</v>
      </c>
      <c r="F2">
        <v>0.85299999999999998</v>
      </c>
      <c r="G2">
        <v>0.85299999999999998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8FB7C-18A4-AF46-B71A-2BA0E30D4936}">
  <dimension ref="A1:G26"/>
  <sheetViews>
    <sheetView workbookViewId="0">
      <selection activeCell="F6" sqref="F6"/>
    </sheetView>
  </sheetViews>
  <sheetFormatPr baseColWidth="10" defaultRowHeight="16"/>
  <cols>
    <col min="1" max="1" width="23.1640625" customWidth="1"/>
    <col min="6" max="6" width="14.6640625" customWidth="1"/>
  </cols>
  <sheetData>
    <row r="1" spans="1:6">
      <c r="B1" t="s">
        <v>9</v>
      </c>
      <c r="C1" t="s">
        <v>8</v>
      </c>
      <c r="D1" t="s">
        <v>10</v>
      </c>
      <c r="E1" t="s">
        <v>12</v>
      </c>
      <c r="F1" t="s">
        <v>11</v>
      </c>
    </row>
    <row r="2" spans="1:6">
      <c r="A2" s="2" t="s">
        <v>97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54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s="5" t="s">
        <v>68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74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70</v>
      </c>
      <c r="B6">
        <f>(-16.78*3+64.38)/1000/0.92</f>
        <v>1.5260869565217381E-2</v>
      </c>
      <c r="C6">
        <f>(-16.78*1.4+64.38)/1000</f>
        <v>4.0887999999999994E-2</v>
      </c>
      <c r="D6">
        <f>MAX(-16.78*10+64.38,0)</f>
        <v>0</v>
      </c>
      <c r="E6">
        <f>(-16.78*0.15+64.38)/1000/0.92</f>
        <v>6.7242391304347823E-2</v>
      </c>
      <c r="F6">
        <f>(-16.78*0.853+64.38)/1000/0.92</f>
        <v>5.442028260869565E-2</v>
      </c>
    </row>
    <row r="7" spans="1:6">
      <c r="A7" t="s">
        <v>93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67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94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s="5" t="s">
        <v>85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A11" t="s">
        <v>58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A12" s="7" t="s">
        <v>99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53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s="2" t="s">
        <v>100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65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7">
      <c r="A17" t="s">
        <v>55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7">
      <c r="A18" s="5" t="s">
        <v>72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7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7">
      <c r="A20" s="5" t="s">
        <v>64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7">
      <c r="A21" s="5" t="s">
        <v>71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7">
      <c r="A22" t="s">
        <v>86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7">
      <c r="A23" t="s">
        <v>56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7">
      <c r="A24" t="s">
        <v>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/>
    </row>
    <row r="25" spans="1:7">
      <c r="A25" t="s">
        <v>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/>
    </row>
    <row r="26" spans="1:7">
      <c r="A26" t="s">
        <v>101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</sheetData>
  <sortState xmlns:xlrd2="http://schemas.microsoft.com/office/spreadsheetml/2017/richdata2" ref="A2:F23">
    <sortCondition ref="A2:A23"/>
  </sortState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DD61-5754-0A4A-B2C1-98447C554F92}">
  <dimension ref="A1:G26"/>
  <sheetViews>
    <sheetView workbookViewId="0">
      <selection activeCell="C39" sqref="C39"/>
    </sheetView>
  </sheetViews>
  <sheetFormatPr baseColWidth="10" defaultRowHeight="16"/>
  <cols>
    <col min="1" max="1" width="40.33203125" customWidth="1"/>
    <col min="2" max="2" width="19.5" customWidth="1"/>
    <col min="3" max="3" width="23.1640625" customWidth="1"/>
    <col min="4" max="4" width="16" customWidth="1"/>
    <col min="5" max="5" width="16.1640625" customWidth="1"/>
    <col min="6" max="6" width="14.6640625" customWidth="1"/>
    <col min="7" max="7" width="13" customWidth="1"/>
    <col min="9" max="9" width="41.83203125" customWidth="1"/>
  </cols>
  <sheetData>
    <row r="1" spans="1:7">
      <c r="A1" s="4"/>
      <c r="B1" t="s">
        <v>13</v>
      </c>
      <c r="C1" t="s">
        <v>0</v>
      </c>
      <c r="D1" t="s">
        <v>1</v>
      </c>
      <c r="E1" t="s">
        <v>2</v>
      </c>
      <c r="F1" s="2" t="s">
        <v>15</v>
      </c>
      <c r="G1" s="2" t="s">
        <v>14</v>
      </c>
    </row>
    <row r="2" spans="1:7">
      <c r="A2" t="s">
        <v>94</v>
      </c>
      <c r="B2" s="2">
        <v>2.2100000000000002E-2</v>
      </c>
      <c r="C2" s="2">
        <v>0</v>
      </c>
      <c r="D2" s="2">
        <v>0</v>
      </c>
      <c r="E2" s="2">
        <v>0</v>
      </c>
      <c r="F2" s="2">
        <v>3.0000000000000001E-3</v>
      </c>
      <c r="G2" s="2">
        <v>0</v>
      </c>
    </row>
    <row r="3" spans="1:7">
      <c r="A3" s="2" t="s">
        <v>97</v>
      </c>
      <c r="B3" s="2">
        <v>0</v>
      </c>
      <c r="C3" s="2">
        <v>0</v>
      </c>
      <c r="D3" s="2">
        <f>1/90</f>
        <v>1.1111111111111112E-2</v>
      </c>
      <c r="E3" s="2">
        <v>0</v>
      </c>
      <c r="F3" s="2">
        <v>0</v>
      </c>
      <c r="G3" s="2">
        <v>0</v>
      </c>
    </row>
    <row r="4" spans="1:7">
      <c r="A4" t="s">
        <v>54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 ht="14" customHeight="1">
      <c r="A5" s="5" t="s">
        <v>68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t="s">
        <v>74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t="s">
        <v>70</v>
      </c>
      <c r="B7" s="2">
        <v>0</v>
      </c>
      <c r="C7" s="2">
        <v>0</v>
      </c>
      <c r="D7" s="2">
        <f>237.42/1000</f>
        <v>0.23741999999999999</v>
      </c>
      <c r="E7" s="2">
        <v>0</v>
      </c>
      <c r="F7" s="2">
        <v>0</v>
      </c>
      <c r="G7" s="2">
        <v>0</v>
      </c>
    </row>
    <row r="8" spans="1:7">
      <c r="A8" t="s">
        <v>93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t="s">
        <v>67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5" t="s">
        <v>85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t="s">
        <v>58</v>
      </c>
      <c r="B11" s="2">
        <f xml:space="preserve"> 6.14*293.07107/1000</f>
        <v>1.7994563697999999</v>
      </c>
      <c r="C11" s="2">
        <f xml:space="preserve"> 3.95*293.07107/1000</f>
        <v>1.1576307265000001</v>
      </c>
      <c r="D11" s="2">
        <f xml:space="preserve"> 1.2*293.07107/1000</f>
        <v>0.35168528400000004</v>
      </c>
      <c r="E11" s="2">
        <f xml:space="preserve"> 7.12*293.07107/1000</f>
        <v>2.0866660184000003</v>
      </c>
      <c r="F11" s="2">
        <f xml:space="preserve"> 2.66*293.07107/1000</f>
        <v>0.77956904620000012</v>
      </c>
      <c r="G11" s="2">
        <v>0</v>
      </c>
    </row>
    <row r="12" spans="1:7">
      <c r="A12" s="7" t="s">
        <v>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t="s">
        <v>53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2" t="s">
        <v>100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t="s">
        <v>65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t="s">
        <v>66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t="s">
        <v>55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5" t="s">
        <v>72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t="s">
        <v>57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5" t="s">
        <v>64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5" t="s">
        <v>71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t="s">
        <v>86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2" t="s">
        <v>56</v>
      </c>
      <c r="B23" s="2">
        <v>3</v>
      </c>
      <c r="C23" s="2">
        <v>14.68</v>
      </c>
      <c r="D23" s="2">
        <v>0.6</v>
      </c>
      <c r="E23" s="2">
        <v>6.67</v>
      </c>
      <c r="F23" s="2">
        <v>4</v>
      </c>
      <c r="G23" s="2">
        <v>6.66</v>
      </c>
    </row>
    <row r="24" spans="1:7">
      <c r="A24" t="s">
        <v>95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t="s">
        <v>96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t="s">
        <v>101</v>
      </c>
      <c r="B26">
        <f>0*293.07107/1000</f>
        <v>0</v>
      </c>
      <c r="C26">
        <f>3.76*293.07107/1000</f>
        <v>1.1019472232</v>
      </c>
      <c r="D26">
        <f>1.76*293.07107/1000</f>
        <v>0.51580508319999996</v>
      </c>
      <c r="E26">
        <f t="shared" ref="E26:G26" si="0">0*293.07107/1000</f>
        <v>0</v>
      </c>
      <c r="F26">
        <f>0.79*293.07107/1000</f>
        <v>0.23152614530000001</v>
      </c>
      <c r="G26">
        <f t="shared" si="0"/>
        <v>0</v>
      </c>
    </row>
  </sheetData>
  <sortState xmlns:xlrd2="http://schemas.microsoft.com/office/spreadsheetml/2017/richdata2" ref="A3:G23">
    <sortCondition ref="A2:A23"/>
  </sortState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EDEE-A79D-8B45-95C3-D427D7A983E7}">
  <dimension ref="A1:N25"/>
  <sheetViews>
    <sheetView workbookViewId="0">
      <selection activeCell="A8" sqref="A8"/>
    </sheetView>
  </sheetViews>
  <sheetFormatPr baseColWidth="10" defaultRowHeight="16"/>
  <cols>
    <col min="2" max="2" width="17" customWidth="1"/>
    <col min="3" max="3" width="19.33203125" customWidth="1"/>
    <col min="4" max="4" width="23.1640625" customWidth="1"/>
    <col min="5" max="5" width="18.33203125" customWidth="1"/>
    <col min="6" max="6" width="18" customWidth="1"/>
  </cols>
  <sheetData>
    <row r="1" spans="1:8">
      <c r="A1" s="4"/>
      <c r="B1" s="2" t="s">
        <v>13</v>
      </c>
      <c r="C1" s="2" t="s">
        <v>0</v>
      </c>
      <c r="D1" s="2" t="s">
        <v>1</v>
      </c>
      <c r="E1" s="2" t="s">
        <v>2</v>
      </c>
      <c r="F1" s="2" t="s">
        <v>15</v>
      </c>
      <c r="G1" s="2" t="s">
        <v>14</v>
      </c>
      <c r="H1" s="3"/>
    </row>
    <row r="2" spans="1:8">
      <c r="A2" s="2" t="s">
        <v>22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/>
    </row>
    <row r="3" spans="1:8">
      <c r="A3" s="2" t="s">
        <v>23</v>
      </c>
      <c r="B3" s="2">
        <v>0</v>
      </c>
      <c r="C3" s="2">
        <v>0</v>
      </c>
      <c r="D3" s="2">
        <v>0</v>
      </c>
      <c r="E3" s="2">
        <v>4.7999999999999996E-3</v>
      </c>
      <c r="F3" s="2">
        <v>1E-3</v>
      </c>
      <c r="G3" s="2">
        <v>0</v>
      </c>
      <c r="H3" s="3"/>
    </row>
    <row r="4" spans="1:8">
      <c r="A4" s="2" t="s">
        <v>24</v>
      </c>
      <c r="B4" s="2">
        <v>0</v>
      </c>
      <c r="C4" s="2">
        <v>0</v>
      </c>
      <c r="D4" s="2">
        <v>0</v>
      </c>
      <c r="E4" s="2">
        <v>4.7000000000000002E-3</v>
      </c>
      <c r="F4" s="2">
        <v>4.0000000000000001E-3</v>
      </c>
      <c r="G4" s="2">
        <v>0</v>
      </c>
      <c r="H4" s="3"/>
    </row>
    <row r="5" spans="1:8">
      <c r="A5" s="2" t="s">
        <v>28</v>
      </c>
      <c r="B5" s="2">
        <v>1.7999999999999999E-2</v>
      </c>
      <c r="C5" s="2">
        <v>0</v>
      </c>
      <c r="D5" s="2">
        <v>0</v>
      </c>
      <c r="E5" s="2">
        <v>1.61E-2</v>
      </c>
      <c r="F5" s="2">
        <v>1.7000000000000001E-2</v>
      </c>
      <c r="G5" s="2">
        <v>0</v>
      </c>
      <c r="H5" s="3"/>
    </row>
    <row r="6" spans="1:8">
      <c r="A6" s="2" t="s">
        <v>25</v>
      </c>
      <c r="B6" s="2">
        <v>0</v>
      </c>
      <c r="C6" s="2">
        <v>0</v>
      </c>
      <c r="D6" s="2">
        <v>0</v>
      </c>
      <c r="E6" s="2">
        <v>0</v>
      </c>
      <c r="F6" s="2">
        <v>2.1000000000000001E-2</v>
      </c>
      <c r="G6" s="2">
        <v>0</v>
      </c>
      <c r="H6" s="3"/>
    </row>
    <row r="7" spans="1:8">
      <c r="A7" s="2" t="s">
        <v>26</v>
      </c>
      <c r="B7" s="2">
        <v>1.24E-2</v>
      </c>
      <c r="C7" s="2">
        <v>0</v>
      </c>
      <c r="D7" s="2">
        <v>0</v>
      </c>
      <c r="E7" s="2">
        <v>9.9000000000000008E-3</v>
      </c>
      <c r="F7" s="2">
        <v>6.0000000000000001E-3</v>
      </c>
      <c r="G7" s="2">
        <v>0</v>
      </c>
      <c r="H7" s="3"/>
    </row>
    <row r="8" spans="1:8">
      <c r="A8" s="2" t="s">
        <v>27</v>
      </c>
      <c r="B8" s="2">
        <v>8.1999999999999998E-4</v>
      </c>
      <c r="C8" s="2">
        <v>0</v>
      </c>
      <c r="D8" s="2">
        <v>0</v>
      </c>
      <c r="E8" s="2">
        <v>3.5999999999999999E-3</v>
      </c>
      <c r="F8" s="2">
        <v>2E-3</v>
      </c>
      <c r="G8" s="2">
        <v>0</v>
      </c>
      <c r="H8" s="3"/>
    </row>
    <row r="17" spans="7:14">
      <c r="G17" s="4"/>
      <c r="H17" s="2"/>
      <c r="I17" s="2"/>
      <c r="J17" s="2"/>
      <c r="K17" s="2"/>
      <c r="L17" s="2"/>
      <c r="M17" s="2"/>
      <c r="N17" s="2"/>
    </row>
    <row r="18" spans="7:14">
      <c r="G18" s="2"/>
      <c r="H18" s="2"/>
      <c r="I18" s="2"/>
      <c r="J18" s="2"/>
      <c r="K18" s="2"/>
      <c r="L18" s="2"/>
      <c r="M18" s="2"/>
      <c r="N18" s="2"/>
    </row>
    <row r="19" spans="7:14">
      <c r="G19" s="2"/>
      <c r="H19" s="2"/>
      <c r="I19" s="2"/>
      <c r="J19" s="2"/>
      <c r="K19" s="2"/>
      <c r="L19" s="2"/>
      <c r="M19" s="2"/>
      <c r="N19" s="2"/>
    </row>
    <row r="20" spans="7:14">
      <c r="G20" s="2"/>
      <c r="H20" s="2"/>
      <c r="I20" s="2"/>
      <c r="J20" s="2"/>
      <c r="K20" s="2"/>
      <c r="L20" s="2"/>
      <c r="M20" s="2"/>
      <c r="N20" s="2"/>
    </row>
    <row r="21" spans="7:14">
      <c r="G21" s="2"/>
      <c r="H21" s="2"/>
      <c r="I21" s="2"/>
      <c r="J21" s="2"/>
      <c r="K21" s="2"/>
      <c r="L21" s="2"/>
      <c r="M21" s="2"/>
      <c r="N21" s="2"/>
    </row>
    <row r="22" spans="7:14">
      <c r="G22" s="2"/>
      <c r="H22" s="2"/>
      <c r="I22" s="2"/>
      <c r="J22" s="2"/>
      <c r="K22" s="2"/>
      <c r="L22" s="2"/>
      <c r="M22" s="2"/>
      <c r="N22" s="2"/>
    </row>
    <row r="23" spans="7:14">
      <c r="G23" s="3"/>
      <c r="H23" s="3"/>
      <c r="I23" s="3"/>
      <c r="J23" s="3"/>
      <c r="K23" s="3"/>
      <c r="L23" s="3"/>
      <c r="M23" s="3"/>
      <c r="N23" s="3"/>
    </row>
    <row r="24" spans="7:14">
      <c r="G24" s="3"/>
      <c r="H24" s="3"/>
      <c r="I24" s="3"/>
      <c r="J24" s="3"/>
      <c r="K24" s="3"/>
      <c r="L24" s="3"/>
      <c r="M24" s="3"/>
      <c r="N24" s="3"/>
    </row>
    <row r="25" spans="7:14">
      <c r="G25" s="2"/>
      <c r="H25" s="2"/>
      <c r="I25" s="2"/>
      <c r="J25" s="2"/>
      <c r="K25" s="2"/>
      <c r="L25" s="2"/>
      <c r="M25" s="2"/>
      <c r="N2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BF1C-D37F-BB4F-A439-7D5F0D1C0D56}">
  <dimension ref="A1:G16"/>
  <sheetViews>
    <sheetView topLeftCell="A4" workbookViewId="0">
      <selection sqref="A1:G7"/>
    </sheetView>
  </sheetViews>
  <sheetFormatPr baseColWidth="10" defaultRowHeight="16"/>
  <cols>
    <col min="1" max="1" width="22.6640625" customWidth="1"/>
    <col min="2" max="2" width="21.33203125" customWidth="1"/>
    <col min="3" max="3" width="17.33203125" customWidth="1"/>
    <col min="4" max="4" width="20.6640625" customWidth="1"/>
    <col min="5" max="5" width="17" customWidth="1"/>
    <col min="6" max="6" width="16.83203125" customWidth="1"/>
    <col min="7" max="7" width="15" customWidth="1"/>
  </cols>
  <sheetData>
    <row r="1" spans="1:7"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7">
      <c r="A2" t="s">
        <v>18</v>
      </c>
      <c r="B2" s="2">
        <v>0.89500000000000002</v>
      </c>
      <c r="C2" s="2">
        <v>0.96799999999999997</v>
      </c>
      <c r="D2" s="2">
        <v>0.99409999999999998</v>
      </c>
      <c r="E2" s="2">
        <v>0.92210000000000003</v>
      </c>
      <c r="F2" s="2">
        <v>0.87460000000000004</v>
      </c>
      <c r="G2" s="2">
        <v>0.80679999999999996</v>
      </c>
    </row>
    <row r="3" spans="1:7">
      <c r="A3" s="2" t="s">
        <v>19</v>
      </c>
      <c r="B3" s="2">
        <v>2.5999999999999999E-2</v>
      </c>
      <c r="C3" s="2">
        <v>0.54300000000000004</v>
      </c>
      <c r="D3" s="2">
        <v>0.64910000000000001</v>
      </c>
      <c r="E3" s="2">
        <v>0</v>
      </c>
      <c r="F3" s="2">
        <v>0.42559999999999998</v>
      </c>
      <c r="G3" s="2">
        <v>0.39860000000000001</v>
      </c>
    </row>
    <row r="4" spans="1:7">
      <c r="A4" s="2" t="s">
        <v>16</v>
      </c>
      <c r="B4" s="2">
        <v>0.95</v>
      </c>
      <c r="C4" s="2">
        <v>0.45779999999999998</v>
      </c>
      <c r="D4" s="2">
        <v>0.71189999999999998</v>
      </c>
      <c r="E4" s="2">
        <v>1.0563</v>
      </c>
      <c r="F4" s="2">
        <v>0.2283</v>
      </c>
      <c r="G4" s="2">
        <v>0.73029999999999995</v>
      </c>
    </row>
    <row r="5" spans="1:7">
      <c r="A5" t="s">
        <v>17</v>
      </c>
      <c r="B5">
        <f>1-B4</f>
        <v>5.0000000000000044E-2</v>
      </c>
      <c r="C5">
        <f t="shared" ref="C5:D5" si="0">1-C4</f>
        <v>0.54220000000000002</v>
      </c>
      <c r="D5">
        <f t="shared" si="0"/>
        <v>0.28810000000000002</v>
      </c>
      <c r="E5">
        <v>0</v>
      </c>
      <c r="F5">
        <f>1-F4</f>
        <v>0.77170000000000005</v>
      </c>
      <c r="G5">
        <f t="shared" ref="G5" si="1">1-G4</f>
        <v>0.26970000000000005</v>
      </c>
    </row>
    <row r="6" spans="1:7">
      <c r="A6" s="2" t="s">
        <v>20</v>
      </c>
      <c r="B6" s="2">
        <v>1.022</v>
      </c>
      <c r="C6" s="2">
        <v>0</v>
      </c>
      <c r="D6" s="2">
        <v>6.5700000000000003E-4</v>
      </c>
      <c r="E6" s="2">
        <v>0</v>
      </c>
      <c r="F6" s="2">
        <v>0</v>
      </c>
      <c r="G6" s="2">
        <v>0.17080000000000001</v>
      </c>
    </row>
    <row r="7" spans="1:7">
      <c r="A7" s="2" t="s">
        <v>21</v>
      </c>
      <c r="B7" s="2">
        <v>0.1133</v>
      </c>
      <c r="C7" s="2">
        <v>2.6800000000000001E-3</v>
      </c>
      <c r="D7" s="2">
        <v>1.9E-2</v>
      </c>
      <c r="E7" s="2">
        <v>0</v>
      </c>
      <c r="F7" s="2">
        <v>0</v>
      </c>
      <c r="G7" s="2">
        <v>2.3300000000000001E-2</v>
      </c>
    </row>
    <row r="8" spans="1:7">
      <c r="A8" s="3"/>
      <c r="B8" s="3"/>
      <c r="C8" s="3"/>
      <c r="D8" s="3"/>
      <c r="E8" s="3"/>
      <c r="F8" s="3"/>
    </row>
    <row r="10" spans="1:7">
      <c r="A10" s="1"/>
      <c r="B10" s="2"/>
      <c r="C10" s="2"/>
      <c r="D10" s="2"/>
      <c r="E10" s="2"/>
      <c r="F10" s="2"/>
    </row>
    <row r="11" spans="1:7">
      <c r="A11" s="2"/>
      <c r="B11" s="2"/>
      <c r="C11" s="2"/>
      <c r="D11" s="2"/>
      <c r="E11" s="2"/>
      <c r="F11" s="2"/>
    </row>
    <row r="12" spans="1:7">
      <c r="A12" s="2"/>
      <c r="B12" s="2"/>
      <c r="C12" s="2"/>
      <c r="D12" s="2"/>
      <c r="E12" s="2"/>
      <c r="F12" s="2"/>
    </row>
    <row r="13" spans="1:7">
      <c r="A13" s="2"/>
      <c r="B13" s="2"/>
      <c r="C13" s="2"/>
      <c r="D13" s="2"/>
      <c r="E13" s="2"/>
      <c r="F13" s="2"/>
    </row>
    <row r="14" spans="1:7">
      <c r="A14" s="2"/>
      <c r="B14" s="2"/>
      <c r="C14" s="2"/>
      <c r="D14" s="2"/>
      <c r="E14" s="2"/>
      <c r="F14" s="2"/>
    </row>
    <row r="15" spans="1:7">
      <c r="A15" s="2"/>
      <c r="B15" s="2"/>
      <c r="C15" s="2"/>
      <c r="D15" s="2"/>
      <c r="E15" s="2"/>
      <c r="F15" s="2"/>
    </row>
    <row r="16" spans="1:7">
      <c r="A16" s="2"/>
      <c r="B16" s="2"/>
      <c r="C16" s="2"/>
      <c r="D16" s="2"/>
      <c r="E16" s="2"/>
      <c r="F16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3F71-623A-FC4D-B453-B6EB7F9E53A9}">
  <dimension ref="A1:H3"/>
  <sheetViews>
    <sheetView workbookViewId="0">
      <selection sqref="A1:G2"/>
    </sheetView>
  </sheetViews>
  <sheetFormatPr baseColWidth="10" defaultRowHeight="16"/>
  <cols>
    <col min="7" max="7" width="15" customWidth="1"/>
  </cols>
  <sheetData>
    <row r="1" spans="1:8"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  <c r="H1" t="s">
        <v>75</v>
      </c>
    </row>
    <row r="2" spans="1:8">
      <c r="A2" t="s">
        <v>102</v>
      </c>
      <c r="B2">
        <f>0.0244+0.0035</f>
        <v>2.7900000000000001E-2</v>
      </c>
      <c r="C2">
        <f>0.021+0.0034+0</f>
        <v>2.4400000000000002E-2</v>
      </c>
      <c r="D2">
        <f>0.0313+0.0313</f>
        <v>6.2600000000000003E-2</v>
      </c>
      <c r="E2">
        <f>0.0298+0.0031</f>
        <v>3.2899999999999999E-2</v>
      </c>
      <c r="F2">
        <f>0.054+0.006</f>
        <v>0.06</v>
      </c>
      <c r="G2">
        <v>0.02</v>
      </c>
      <c r="H2">
        <f>6.27</f>
        <v>6.27</v>
      </c>
    </row>
    <row r="3" spans="1:8">
      <c r="A3" t="s">
        <v>56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 s="6">
        <v>3.2757400000000002E-4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9477-952B-BE41-910E-77FFD7591BDB}">
  <dimension ref="A1:I7"/>
  <sheetViews>
    <sheetView zoomScale="90" zoomScaleNormal="90" workbookViewId="0">
      <selection activeCell="F26" sqref="F26"/>
    </sheetView>
  </sheetViews>
  <sheetFormatPr baseColWidth="10" defaultRowHeight="16"/>
  <cols>
    <col min="1" max="2" width="17.6640625" customWidth="1"/>
    <col min="3" max="3" width="16.6640625" customWidth="1"/>
    <col min="4" max="4" width="16.1640625" customWidth="1"/>
    <col min="5" max="5" width="14" customWidth="1"/>
    <col min="6" max="6" width="17.1640625" customWidth="1"/>
    <col min="7" max="7" width="16.33203125" customWidth="1"/>
    <col min="8" max="8" width="15.33203125" customWidth="1"/>
    <col min="9" max="9" width="14.1640625" customWidth="1"/>
  </cols>
  <sheetData>
    <row r="1" spans="1:9">
      <c r="B1" t="s">
        <v>3</v>
      </c>
      <c r="C1" t="s">
        <v>4</v>
      </c>
      <c r="D1" t="s">
        <v>43</v>
      </c>
      <c r="E1" t="s">
        <v>42</v>
      </c>
      <c r="F1" t="s">
        <v>48</v>
      </c>
      <c r="G1" t="s">
        <v>49</v>
      </c>
      <c r="H1" t="s">
        <v>50</v>
      </c>
      <c r="I1" t="s">
        <v>51</v>
      </c>
    </row>
    <row r="2" spans="1:9">
      <c r="A2" t="s">
        <v>13</v>
      </c>
      <c r="B2">
        <v>0.89770000000000005</v>
      </c>
      <c r="C2">
        <v>0.75490000000000002</v>
      </c>
      <c r="D2">
        <v>0.4763</v>
      </c>
      <c r="E2">
        <v>0</v>
      </c>
      <c r="F2">
        <v>1.0123</v>
      </c>
      <c r="G2">
        <v>0.75490000000000002</v>
      </c>
      <c r="H2">
        <v>0.48759999999999998</v>
      </c>
      <c r="I2">
        <v>0.57999999999999996</v>
      </c>
    </row>
    <row r="3" spans="1:9">
      <c r="A3" t="s">
        <v>0</v>
      </c>
      <c r="B3">
        <v>0.95740000000000003</v>
      </c>
      <c r="C3">
        <v>1.0819000000000001</v>
      </c>
      <c r="D3">
        <v>0.33600000000000002</v>
      </c>
      <c r="E3">
        <v>0</v>
      </c>
      <c r="F3">
        <v>0.7</v>
      </c>
      <c r="G3">
        <v>0.7</v>
      </c>
      <c r="H3">
        <v>0.33600000000000002</v>
      </c>
      <c r="I3">
        <v>0.28699999999999998</v>
      </c>
    </row>
    <row r="4" spans="1:9">
      <c r="A4" t="s">
        <v>1</v>
      </c>
      <c r="B4">
        <v>0.82750000000000001</v>
      </c>
      <c r="C4">
        <v>0.93440000000000001</v>
      </c>
      <c r="D4">
        <v>0.33600000000000002</v>
      </c>
      <c r="E4">
        <v>0</v>
      </c>
      <c r="F4">
        <v>0.7</v>
      </c>
      <c r="G4">
        <v>0.7</v>
      </c>
      <c r="H4">
        <v>0.33600000000000002</v>
      </c>
      <c r="I4">
        <v>0.28699999999999998</v>
      </c>
    </row>
    <row r="5" spans="1:9">
      <c r="A5" t="s">
        <v>2</v>
      </c>
      <c r="B5">
        <v>1.052</v>
      </c>
      <c r="C5">
        <v>1.0387999999999999</v>
      </c>
      <c r="D5">
        <v>0.53439999999999999</v>
      </c>
      <c r="E5">
        <v>0</v>
      </c>
      <c r="F5">
        <v>1.0123</v>
      </c>
      <c r="G5">
        <v>1.0387999999999999</v>
      </c>
      <c r="H5">
        <v>0.48759999999999998</v>
      </c>
      <c r="I5">
        <v>0.57999999999999996</v>
      </c>
    </row>
    <row r="6" spans="1:9">
      <c r="A6" t="s">
        <v>14</v>
      </c>
      <c r="B6">
        <v>1.1060000000000001</v>
      </c>
      <c r="C6">
        <v>0.58799999999999997</v>
      </c>
      <c r="D6">
        <v>0.45600000000000002</v>
      </c>
      <c r="E6">
        <v>0</v>
      </c>
      <c r="F6">
        <v>0.95</v>
      </c>
      <c r="G6">
        <v>0.9</v>
      </c>
      <c r="H6">
        <v>0.45600000000000002</v>
      </c>
      <c r="I6">
        <v>0.36899999999999999</v>
      </c>
    </row>
    <row r="7" spans="1:9">
      <c r="A7" t="s">
        <v>15</v>
      </c>
      <c r="B7">
        <v>0.4889</v>
      </c>
      <c r="C7">
        <v>0.38800000000000001</v>
      </c>
      <c r="D7">
        <v>0.36</v>
      </c>
      <c r="E7">
        <v>0</v>
      </c>
      <c r="F7">
        <v>0.39</v>
      </c>
      <c r="G7">
        <v>0.52300000000000002</v>
      </c>
      <c r="H7">
        <v>0.28799999999999998</v>
      </c>
      <c r="I7">
        <v>0.246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A0B3-6C3B-AD49-9E47-499946BFFB62}">
  <dimension ref="A1:J13"/>
  <sheetViews>
    <sheetView workbookViewId="0">
      <selection activeCell="A5" sqref="A5:A7"/>
    </sheetView>
  </sheetViews>
  <sheetFormatPr baseColWidth="10" defaultRowHeight="16"/>
  <cols>
    <col min="1" max="1" width="30.33203125" customWidth="1"/>
  </cols>
  <sheetData>
    <row r="1" spans="1:10">
      <c r="B1" t="s">
        <v>33</v>
      </c>
      <c r="C1" t="s">
        <v>37</v>
      </c>
      <c r="D1" t="s">
        <v>34</v>
      </c>
      <c r="E1" t="s">
        <v>41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</row>
    <row r="2" spans="1:10">
      <c r="A2" t="s">
        <v>31</v>
      </c>
      <c r="B2">
        <v>0.9</v>
      </c>
      <c r="C2">
        <v>0</v>
      </c>
      <c r="D2">
        <v>0.95</v>
      </c>
      <c r="E2">
        <v>1</v>
      </c>
      <c r="F2">
        <f>(43+18.6)/(50+50)</f>
        <v>0.61599999999999999</v>
      </c>
      <c r="G2">
        <v>0</v>
      </c>
      <c r="H2">
        <f>0.6*(0.5*(0.9+0.94))</f>
        <v>0.55199999999999994</v>
      </c>
      <c r="I2">
        <v>0</v>
      </c>
      <c r="J2" s="5">
        <v>0.76</v>
      </c>
    </row>
    <row r="3" spans="1:10">
      <c r="A3" t="s">
        <v>32</v>
      </c>
      <c r="B3">
        <v>0</v>
      </c>
      <c r="C3">
        <v>0.89</v>
      </c>
      <c r="D3">
        <v>0.85</v>
      </c>
      <c r="E3">
        <v>1</v>
      </c>
      <c r="F3">
        <v>0</v>
      </c>
      <c r="G3">
        <f>(12.1+7.1)/(40+40)</f>
        <v>0.24</v>
      </c>
      <c r="H3">
        <f>0.35*1/2*(0.67+0.73)</f>
        <v>0.24499999999999997</v>
      </c>
      <c r="I3">
        <f>23.7/23</f>
        <v>1.0304347826086957</v>
      </c>
      <c r="J3" s="5">
        <v>0.76</v>
      </c>
    </row>
    <row r="4" spans="1:10">
      <c r="A4" t="s">
        <v>52</v>
      </c>
      <c r="B4">
        <v>0</v>
      </c>
      <c r="C4">
        <v>0</v>
      </c>
      <c r="D4">
        <v>0</v>
      </c>
      <c r="E4">
        <v>0.85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t="s">
        <v>38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 t="s">
        <v>39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</row>
    <row r="7" spans="1:10">
      <c r="A7" t="s">
        <v>40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</row>
    <row r="8" spans="1:10">
      <c r="A8" t="s">
        <v>47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1</v>
      </c>
      <c r="I8">
        <v>1</v>
      </c>
      <c r="J8">
        <v>1</v>
      </c>
    </row>
    <row r="9" spans="1:10">
      <c r="A9" t="s">
        <v>46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</row>
    <row r="10" spans="1:10">
      <c r="A10" t="s">
        <v>44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 t="s">
        <v>45</v>
      </c>
      <c r="B11">
        <v>0</v>
      </c>
      <c r="C11">
        <f>C9</f>
        <v>1</v>
      </c>
      <c r="D11">
        <v>0</v>
      </c>
      <c r="E11">
        <v>0</v>
      </c>
      <c r="F11">
        <f>F9</f>
        <v>0</v>
      </c>
      <c r="G11">
        <v>0</v>
      </c>
      <c r="H11">
        <v>0</v>
      </c>
      <c r="I11">
        <v>0</v>
      </c>
      <c r="J11">
        <v>0</v>
      </c>
    </row>
    <row r="12" spans="1:10">
      <c r="A12" t="s">
        <v>35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>
      <c r="A13" t="s">
        <v>36</v>
      </c>
      <c r="B13">
        <f>B12</f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0AEA-2180-F24A-A886-48C9E31E2113}">
  <dimension ref="A1:J31"/>
  <sheetViews>
    <sheetView workbookViewId="0">
      <selection activeCell="G25" sqref="G25"/>
    </sheetView>
  </sheetViews>
  <sheetFormatPr baseColWidth="10" defaultRowHeight="16"/>
  <cols>
    <col min="1" max="1" width="41.33203125" customWidth="1"/>
    <col min="2" max="2" width="20.6640625" customWidth="1"/>
  </cols>
  <sheetData>
    <row r="1" spans="1:10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110</v>
      </c>
    </row>
    <row r="2" spans="1:10">
      <c r="A2" t="s">
        <v>84</v>
      </c>
      <c r="B2" t="s">
        <v>116</v>
      </c>
      <c r="C2" t="s">
        <v>117</v>
      </c>
      <c r="D2" t="s">
        <v>118</v>
      </c>
      <c r="E2" t="s">
        <v>114</v>
      </c>
      <c r="F2" t="s">
        <v>115</v>
      </c>
      <c r="G2" t="s">
        <v>111</v>
      </c>
      <c r="H2" t="s">
        <v>112</v>
      </c>
      <c r="I2" t="s">
        <v>113</v>
      </c>
    </row>
    <row r="3" spans="1:10">
      <c r="A3" t="s">
        <v>69</v>
      </c>
      <c r="B3">
        <v>0.95289999999999997</v>
      </c>
      <c r="C3">
        <v>0.95230000000000004</v>
      </c>
      <c r="D3">
        <v>0.80900000000000005</v>
      </c>
      <c r="E3">
        <f>180/201</f>
        <v>0.89552238805970152</v>
      </c>
      <c r="F3">
        <f>184/210</f>
        <v>0.87619047619047619</v>
      </c>
      <c r="G3">
        <v>0.8</v>
      </c>
      <c r="H3">
        <f>154/181</f>
        <v>0.850828729281768</v>
      </c>
      <c r="I3">
        <f>154/181</f>
        <v>0.850828729281768</v>
      </c>
    </row>
    <row r="4" spans="1:10">
      <c r="A4" t="s">
        <v>38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t="s">
        <v>40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</row>
    <row r="6" spans="1:10">
      <c r="A6" t="s">
        <v>39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1</v>
      </c>
    </row>
    <row r="7" spans="1:10">
      <c r="A7" s="2" t="s">
        <v>97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10">
      <c r="A8" t="s">
        <v>54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10">
      <c r="A9" s="5" t="s">
        <v>68</v>
      </c>
      <c r="B9">
        <v>0</v>
      </c>
      <c r="C9">
        <v>0</v>
      </c>
      <c r="D9">
        <v>0</v>
      </c>
      <c r="E9">
        <f>(40)/(180/24)</f>
        <v>5.333333333333333</v>
      </c>
      <c r="F9">
        <f>(90)/(184/24)</f>
        <v>11.739130434782608</v>
      </c>
      <c r="G9">
        <v>0</v>
      </c>
      <c r="H9">
        <v>0</v>
      </c>
      <c r="I9">
        <v>0</v>
      </c>
    </row>
    <row r="10" spans="1:10">
      <c r="A10" t="s">
        <v>74</v>
      </c>
      <c r="B10">
        <v>7.1999999999999998E-3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10">
      <c r="A11" t="s">
        <v>70</v>
      </c>
      <c r="B11">
        <v>0</v>
      </c>
      <c r="C11">
        <v>0</v>
      </c>
      <c r="D11">
        <v>0</v>
      </c>
      <c r="E11">
        <v>0</v>
      </c>
      <c r="F11">
        <f>(7)/(184/24)</f>
        <v>0.91304347826086951</v>
      </c>
      <c r="G11">
        <f>572/(572+2886)*0.607</f>
        <v>0.10040601503759397</v>
      </c>
      <c r="H11">
        <v>0</v>
      </c>
      <c r="I11">
        <f>6/(154/24)</f>
        <v>0.93506493506493504</v>
      </c>
    </row>
    <row r="12" spans="1:10">
      <c r="A12" t="s">
        <v>93</v>
      </c>
      <c r="B12">
        <v>0</v>
      </c>
      <c r="C12">
        <v>1.1000000000000001E-3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10">
      <c r="A13" t="s">
        <v>67</v>
      </c>
      <c r="B13">
        <v>0</v>
      </c>
      <c r="C13">
        <v>0</v>
      </c>
      <c r="D13">
        <v>0</v>
      </c>
      <c r="E13">
        <f>241/180</f>
        <v>1.3388888888888888</v>
      </c>
      <c r="F13">
        <v>0</v>
      </c>
      <c r="G13">
        <v>0</v>
      </c>
      <c r="H13">
        <v>0</v>
      </c>
      <c r="I13">
        <v>0</v>
      </c>
    </row>
    <row r="14" spans="1:10">
      <c r="A14" t="s">
        <v>94</v>
      </c>
      <c r="B14">
        <v>0</v>
      </c>
      <c r="C14">
        <v>0</v>
      </c>
      <c r="D14">
        <v>0</v>
      </c>
      <c r="E14">
        <f>173/180</f>
        <v>0.96111111111111114</v>
      </c>
      <c r="F14">
        <v>0</v>
      </c>
      <c r="G14">
        <v>0</v>
      </c>
      <c r="H14">
        <v>0</v>
      </c>
      <c r="I14">
        <v>0</v>
      </c>
      <c r="J14" s="5"/>
    </row>
    <row r="15" spans="1:10">
      <c r="A15" s="5" t="s">
        <v>85</v>
      </c>
      <c r="B15">
        <v>0</v>
      </c>
      <c r="C15">
        <v>0</v>
      </c>
      <c r="D15">
        <v>0</v>
      </c>
      <c r="E15">
        <v>0</v>
      </c>
      <c r="F15">
        <v>0</v>
      </c>
      <c r="G15">
        <v>0.25</v>
      </c>
      <c r="H15">
        <f>0.17/154</f>
        <v>1.103896103896104E-3</v>
      </c>
      <c r="I15">
        <f>0.15/154</f>
        <v>9.7402597402597403E-4</v>
      </c>
    </row>
    <row r="16" spans="1:10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0">
      <c r="A17" s="7" t="s">
        <v>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0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10">
      <c r="A19" s="2" t="s">
        <v>100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10">
      <c r="A20" t="s">
        <v>65</v>
      </c>
      <c r="B20">
        <f>4931.46/3600</f>
        <v>1.36985</v>
      </c>
      <c r="C20">
        <f>1828.46/3600</f>
        <v>0.50790555555555561</v>
      </c>
      <c r="D20">
        <f>1508.46/3600</f>
        <v>0.4190166666666667</v>
      </c>
      <c r="E20">
        <f>(209)/(180/24)</f>
        <v>27.866666666666667</v>
      </c>
      <c r="F20">
        <f>(305)/(184/24)</f>
        <v>39.782608695652172</v>
      </c>
      <c r="G20">
        <v>0</v>
      </c>
      <c r="H20">
        <f>299/(154/24)</f>
        <v>46.597402597402592</v>
      </c>
      <c r="I20">
        <f>242/(154/24)</f>
        <v>37.714285714285715</v>
      </c>
      <c r="J20" s="5"/>
    </row>
    <row r="21" spans="1:10">
      <c r="A21" t="s">
        <v>66</v>
      </c>
      <c r="B21">
        <v>0</v>
      </c>
      <c r="C21">
        <v>0</v>
      </c>
      <c r="D21">
        <v>0</v>
      </c>
      <c r="E21">
        <f>43/180</f>
        <v>0.2388888888888889</v>
      </c>
      <c r="F21">
        <f>43/184</f>
        <v>0.23369565217391305</v>
      </c>
      <c r="G21">
        <v>0</v>
      </c>
      <c r="H21">
        <v>0</v>
      </c>
      <c r="I21">
        <v>0</v>
      </c>
    </row>
    <row r="22" spans="1:10">
      <c r="A22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5"/>
    </row>
    <row r="23" spans="1:10">
      <c r="A23" s="5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0.24399999999999999</v>
      </c>
      <c r="H23">
        <f>0</f>
        <v>0</v>
      </c>
      <c r="I23">
        <v>0</v>
      </c>
      <c r="J23" s="5"/>
    </row>
    <row r="24" spans="1:10">
      <c r="A24" t="s">
        <v>57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10">
      <c r="A25" s="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f>2/6*0.572</f>
        <v>0.19066666666666665</v>
      </c>
      <c r="H25">
        <v>0</v>
      </c>
      <c r="I25">
        <v>0</v>
      </c>
    </row>
    <row r="26" spans="1:10">
      <c r="A26" s="5" t="s">
        <v>71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</row>
    <row r="27" spans="1:10">
      <c r="A27" t="s">
        <v>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10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2.39</v>
      </c>
      <c r="H28">
        <v>0</v>
      </c>
      <c r="I28">
        <v>0</v>
      </c>
    </row>
    <row r="29" spans="1:10" ht="16" customHeight="1">
      <c r="A29" t="s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10">
      <c r="A30" t="s">
        <v>96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10">
      <c r="A31" t="s">
        <v>101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</sheetData>
  <sortState xmlns:xlrd2="http://schemas.microsoft.com/office/spreadsheetml/2017/richdata2" ref="A7:I28">
    <sortCondition ref="A7:A28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5C74-87B2-AD48-8EF6-309C18800921}">
  <dimension ref="A1:C26"/>
  <sheetViews>
    <sheetView workbookViewId="0">
      <selection activeCell="A7" sqref="A7"/>
    </sheetView>
  </sheetViews>
  <sheetFormatPr baseColWidth="10" defaultRowHeight="16"/>
  <cols>
    <col min="1" max="1" width="45.83203125" customWidth="1"/>
    <col min="2" max="2" width="15" customWidth="1"/>
  </cols>
  <sheetData>
    <row r="1" spans="1:3">
      <c r="B1" t="s">
        <v>98</v>
      </c>
    </row>
    <row r="2" spans="1:3">
      <c r="A2" s="2" t="s">
        <v>97</v>
      </c>
      <c r="B2">
        <v>0</v>
      </c>
      <c r="C2" s="2"/>
    </row>
    <row r="3" spans="1:3">
      <c r="A3" t="s">
        <v>54</v>
      </c>
      <c r="B3">
        <v>0</v>
      </c>
    </row>
    <row r="4" spans="1:3">
      <c r="A4" t="s">
        <v>101</v>
      </c>
      <c r="B4">
        <v>0</v>
      </c>
    </row>
    <row r="5" spans="1:3">
      <c r="A5" s="5" t="s">
        <v>68</v>
      </c>
      <c r="B5">
        <v>0</v>
      </c>
      <c r="C5" s="5"/>
    </row>
    <row r="6" spans="1:3">
      <c r="A6" t="s">
        <v>74</v>
      </c>
      <c r="B6">
        <v>0</v>
      </c>
    </row>
    <row r="7" spans="1:3">
      <c r="A7" t="s">
        <v>70</v>
      </c>
      <c r="B7">
        <v>-1.512661</v>
      </c>
    </row>
    <row r="8" spans="1:3">
      <c r="A8" t="s">
        <v>93</v>
      </c>
      <c r="B8">
        <v>0</v>
      </c>
    </row>
    <row r="9" spans="1:3">
      <c r="A9" t="s">
        <v>67</v>
      </c>
      <c r="B9">
        <v>0</v>
      </c>
    </row>
    <row r="10" spans="1:3">
      <c r="A10" t="s">
        <v>94</v>
      </c>
      <c r="B10">
        <v>0</v>
      </c>
    </row>
    <row r="11" spans="1:3">
      <c r="A11" s="5" t="s">
        <v>85</v>
      </c>
      <c r="B11">
        <v>0</v>
      </c>
      <c r="C11" s="5"/>
    </row>
    <row r="12" spans="1:3">
      <c r="A12" t="s">
        <v>58</v>
      </c>
      <c r="B12">
        <v>0</v>
      </c>
    </row>
    <row r="13" spans="1:3">
      <c r="A13" s="7" t="s">
        <v>99</v>
      </c>
      <c r="B13">
        <v>0</v>
      </c>
      <c r="C13" s="7"/>
    </row>
    <row r="14" spans="1:3">
      <c r="A14" t="s">
        <v>53</v>
      </c>
      <c r="B14">
        <v>0</v>
      </c>
    </row>
    <row r="15" spans="1:3">
      <c r="A15" s="2" t="s">
        <v>100</v>
      </c>
      <c r="B15">
        <v>0</v>
      </c>
      <c r="C15" s="2"/>
    </row>
    <row r="16" spans="1:3">
      <c r="A16" t="s">
        <v>65</v>
      </c>
      <c r="B16">
        <v>0</v>
      </c>
    </row>
    <row r="17" spans="1:3">
      <c r="A17" t="s">
        <v>96</v>
      </c>
      <c r="B17">
        <f>7.62/200000</f>
        <v>3.8099999999999998E-5</v>
      </c>
    </row>
    <row r="18" spans="1:3">
      <c r="A18" t="s">
        <v>66</v>
      </c>
      <c r="B18">
        <v>0</v>
      </c>
    </row>
    <row r="19" spans="1:3">
      <c r="A19" t="s">
        <v>55</v>
      </c>
      <c r="B19">
        <v>0</v>
      </c>
    </row>
    <row r="20" spans="1:3">
      <c r="A20" t="s">
        <v>95</v>
      </c>
      <c r="B20">
        <f>5987.41/200000</f>
        <v>2.993705E-2</v>
      </c>
    </row>
    <row r="21" spans="1:3">
      <c r="A21" s="5" t="s">
        <v>72</v>
      </c>
      <c r="B21">
        <v>0</v>
      </c>
      <c r="C21" s="5"/>
    </row>
    <row r="22" spans="1:3">
      <c r="A22" t="s">
        <v>57</v>
      </c>
      <c r="B22">
        <f>4832.94/200000</f>
        <v>2.4164699999999997E-2</v>
      </c>
    </row>
    <row r="23" spans="1:3">
      <c r="A23" s="5" t="s">
        <v>64</v>
      </c>
      <c r="B23">
        <v>0</v>
      </c>
      <c r="C23" s="5"/>
    </row>
    <row r="24" spans="1:3">
      <c r="A24" s="5" t="s">
        <v>71</v>
      </c>
      <c r="B24">
        <v>0</v>
      </c>
      <c r="C24" s="5"/>
    </row>
    <row r="25" spans="1:3">
      <c r="A25" t="s">
        <v>86</v>
      </c>
      <c r="B25">
        <f>(65.32+6842.34+79.96)/20000</f>
        <v>0.349381</v>
      </c>
    </row>
    <row r="26" spans="1:3">
      <c r="A26" t="s">
        <v>56</v>
      </c>
      <c r="B26">
        <f>79997.84/200000</f>
        <v>0.39998919999999999</v>
      </c>
    </row>
  </sheetData>
  <sortState xmlns:xlrd2="http://schemas.microsoft.com/office/spreadsheetml/2017/richdata2" ref="C3:D26">
    <sortCondition ref="C2:C2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77CA5-911D-EA4E-B71E-FFBC08FF2012}">
  <dimension ref="A1:G15"/>
  <sheetViews>
    <sheetView workbookViewId="0">
      <selection activeCell="G10" sqref="G10"/>
    </sheetView>
  </sheetViews>
  <sheetFormatPr baseColWidth="10" defaultRowHeight="16"/>
  <sheetData>
    <row r="1" spans="1:7">
      <c r="B1" t="s">
        <v>89</v>
      </c>
      <c r="C1" t="s">
        <v>90</v>
      </c>
      <c r="D1" t="s">
        <v>107</v>
      </c>
      <c r="E1" t="s">
        <v>91</v>
      </c>
      <c r="F1" t="s">
        <v>92</v>
      </c>
      <c r="G1" t="s">
        <v>108</v>
      </c>
    </row>
    <row r="2" spans="1:7">
      <c r="A2" t="s">
        <v>6</v>
      </c>
      <c r="B2">
        <v>0.43700000000000006</v>
      </c>
      <c r="C2">
        <v>0.43700000000000006</v>
      </c>
      <c r="D2">
        <v>0.43700000000000006</v>
      </c>
      <c r="E2">
        <v>0.43200000000000005</v>
      </c>
      <c r="F2">
        <v>0.43200000000000005</v>
      </c>
      <c r="G2">
        <v>0.43200000000000005</v>
      </c>
    </row>
    <row r="3" spans="1:7">
      <c r="A3" t="s">
        <v>5</v>
      </c>
      <c r="B3">
        <v>0.35700000000000004</v>
      </c>
      <c r="C3">
        <v>0.35700000000000004</v>
      </c>
      <c r="D3">
        <v>0.35700000000000004</v>
      </c>
      <c r="E3">
        <v>0.34899999999999998</v>
      </c>
      <c r="F3">
        <v>0.34899999999999998</v>
      </c>
      <c r="G3">
        <v>0.34899999999999998</v>
      </c>
    </row>
    <row r="4" spans="1:7">
      <c r="A4" t="s">
        <v>7</v>
      </c>
      <c r="B4">
        <v>0.06</v>
      </c>
      <c r="C4">
        <v>0.06</v>
      </c>
      <c r="D4">
        <v>0.06</v>
      </c>
      <c r="E4">
        <v>6.3E-2</v>
      </c>
      <c r="F4">
        <v>6.3E-2</v>
      </c>
      <c r="G4">
        <v>6.3E-2</v>
      </c>
    </row>
    <row r="5" spans="1:7">
      <c r="A5" t="s">
        <v>75</v>
      </c>
      <c r="B5">
        <f>100/1000</f>
        <v>0.1</v>
      </c>
      <c r="C5">
        <f t="shared" ref="C5:G5" si="0">100/1000</f>
        <v>0.1</v>
      </c>
      <c r="D5">
        <f t="shared" si="0"/>
        <v>0.1</v>
      </c>
      <c r="E5">
        <f t="shared" si="0"/>
        <v>0.1</v>
      </c>
      <c r="F5">
        <f t="shared" si="0"/>
        <v>0.1</v>
      </c>
      <c r="G5">
        <f t="shared" si="0"/>
        <v>0.1</v>
      </c>
    </row>
    <row r="11" spans="1:7"/>
    <row r="15" spans="1:7"/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3C77-A08A-8E4F-AD73-8EE8DCBDE697}">
  <dimension ref="A1:C26"/>
  <sheetViews>
    <sheetView workbookViewId="0">
      <selection activeCell="A22" sqref="A22"/>
    </sheetView>
  </sheetViews>
  <sheetFormatPr baseColWidth="10" defaultRowHeight="16"/>
  <cols>
    <col min="1" max="1" width="22.1640625" customWidth="1"/>
    <col min="2" max="2" width="16" customWidth="1"/>
    <col min="3" max="3" width="16.33203125" customWidth="1"/>
  </cols>
  <sheetData>
    <row r="1" spans="1:3">
      <c r="B1" s="9" t="s">
        <v>87</v>
      </c>
      <c r="C1" s="9" t="s">
        <v>88</v>
      </c>
    </row>
    <row r="2" spans="1:3">
      <c r="A2" s="2" t="s">
        <v>97</v>
      </c>
      <c r="B2">
        <v>0</v>
      </c>
      <c r="C2">
        <v>0</v>
      </c>
    </row>
    <row r="3" spans="1:3">
      <c r="A3" t="s">
        <v>54</v>
      </c>
      <c r="B3">
        <v>7.1478528465519662E-3</v>
      </c>
      <c r="C3">
        <v>7.1766222604211435E-3</v>
      </c>
    </row>
    <row r="4" spans="1:3">
      <c r="A4" t="s">
        <v>101</v>
      </c>
      <c r="B4">
        <v>0</v>
      </c>
      <c r="C4">
        <v>0</v>
      </c>
    </row>
    <row r="5" spans="1:3">
      <c r="A5" s="5" t="s">
        <v>68</v>
      </c>
      <c r="B5">
        <v>0</v>
      </c>
      <c r="C5">
        <v>0</v>
      </c>
    </row>
    <row r="6" spans="1:3">
      <c r="A6" t="s">
        <v>74</v>
      </c>
      <c r="B6">
        <v>0</v>
      </c>
      <c r="C6">
        <v>0</v>
      </c>
    </row>
    <row r="7" spans="1:3">
      <c r="A7" t="s">
        <v>70</v>
      </c>
      <c r="B7">
        <v>1.7862638131207163E-2</v>
      </c>
      <c r="C7">
        <v>2.2821658788139234</v>
      </c>
    </row>
    <row r="8" spans="1:3">
      <c r="A8" t="s">
        <v>93</v>
      </c>
      <c r="B8">
        <v>0</v>
      </c>
      <c r="C8">
        <v>0</v>
      </c>
    </row>
    <row r="9" spans="1:3">
      <c r="A9" t="s">
        <v>67</v>
      </c>
      <c r="B9">
        <v>0</v>
      </c>
      <c r="C9">
        <v>0</v>
      </c>
    </row>
    <row r="10" spans="1:3">
      <c r="A10" t="s">
        <v>94</v>
      </c>
      <c r="B10">
        <v>0</v>
      </c>
      <c r="C10">
        <v>0</v>
      </c>
    </row>
    <row r="11" spans="1:3">
      <c r="A11" s="5" t="s">
        <v>85</v>
      </c>
      <c r="B11">
        <v>0</v>
      </c>
      <c r="C11">
        <v>0</v>
      </c>
    </row>
    <row r="12" spans="1:3">
      <c r="A12" t="s">
        <v>58</v>
      </c>
      <c r="B12">
        <v>0</v>
      </c>
      <c r="C12">
        <v>-0.40481306403094097</v>
      </c>
    </row>
    <row r="13" spans="1:3">
      <c r="A13" s="7" t="s">
        <v>99</v>
      </c>
      <c r="B13">
        <v>0</v>
      </c>
      <c r="C13">
        <v>0</v>
      </c>
    </row>
    <row r="14" spans="1:3">
      <c r="A14" t="s">
        <v>53</v>
      </c>
      <c r="B14">
        <v>3.6228843194852429E-2</v>
      </c>
      <c r="C14">
        <v>3.5840137516115173E-2</v>
      </c>
    </row>
    <row r="15" spans="1:3">
      <c r="A15" s="2" t="s">
        <v>100</v>
      </c>
      <c r="B15">
        <v>0</v>
      </c>
      <c r="C15">
        <v>0</v>
      </c>
    </row>
    <row r="16" spans="1:3">
      <c r="A16" t="s">
        <v>65</v>
      </c>
      <c r="B16">
        <v>0</v>
      </c>
      <c r="C16">
        <v>0</v>
      </c>
    </row>
    <row r="17" spans="1:3">
      <c r="A17" s="6" t="s">
        <v>96</v>
      </c>
      <c r="B17">
        <v>0</v>
      </c>
      <c r="C17">
        <v>0</v>
      </c>
    </row>
    <row r="18" spans="1:3">
      <c r="A18" t="s">
        <v>66</v>
      </c>
      <c r="B18">
        <v>0</v>
      </c>
      <c r="C18">
        <v>0</v>
      </c>
    </row>
    <row r="19" spans="1:3">
      <c r="A19" t="s">
        <v>55</v>
      </c>
      <c r="B19">
        <v>4.0215414743320745E-3</v>
      </c>
      <c r="C19">
        <v>0</v>
      </c>
    </row>
    <row r="20" spans="1:3">
      <c r="A20" s="6" t="s">
        <v>95</v>
      </c>
      <c r="B20">
        <v>0</v>
      </c>
      <c r="C20">
        <v>0</v>
      </c>
    </row>
    <row r="21" spans="1:3">
      <c r="A21" s="5" t="s">
        <v>72</v>
      </c>
      <c r="B21">
        <v>0</v>
      </c>
      <c r="C21">
        <v>0</v>
      </c>
    </row>
    <row r="22" spans="1:3">
      <c r="A22" t="s">
        <v>57</v>
      </c>
      <c r="B22">
        <v>-0.69939851727514302</v>
      </c>
      <c r="C22">
        <v>-2.1486892995272902</v>
      </c>
    </row>
    <row r="23" spans="1:3">
      <c r="A23" s="5" t="s">
        <v>64</v>
      </c>
      <c r="B23">
        <v>0</v>
      </c>
      <c r="C23">
        <v>0</v>
      </c>
    </row>
    <row r="24" spans="1:3">
      <c r="A24" s="5" t="s">
        <v>71</v>
      </c>
      <c r="B24">
        <v>0</v>
      </c>
      <c r="C24">
        <v>0</v>
      </c>
    </row>
    <row r="25" spans="1:3">
      <c r="A25" t="s">
        <v>86</v>
      </c>
      <c r="B25">
        <v>0</v>
      </c>
      <c r="C25">
        <v>0</v>
      </c>
    </row>
    <row r="26" spans="1:3">
      <c r="A26" t="s">
        <v>56</v>
      </c>
      <c r="B26">
        <v>1.6900615470695202</v>
      </c>
      <c r="C26">
        <v>2.0276321443919207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2F9C-20A1-9147-A0FE-3FF3644834C6}">
  <dimension ref="A1:G5"/>
  <sheetViews>
    <sheetView workbookViewId="0">
      <selection activeCell="F33" sqref="F33"/>
    </sheetView>
  </sheetViews>
  <sheetFormatPr baseColWidth="10" defaultRowHeight="16"/>
  <cols>
    <col min="1" max="1" width="14" customWidth="1"/>
    <col min="2" max="2" width="18.33203125" customWidth="1"/>
    <col min="3" max="3" width="19.83203125" customWidth="1"/>
    <col min="4" max="4" width="23.33203125" customWidth="1"/>
  </cols>
  <sheetData>
    <row r="1" spans="1:7">
      <c r="B1" t="s">
        <v>89</v>
      </c>
      <c r="C1" t="s">
        <v>90</v>
      </c>
      <c r="D1" t="s">
        <v>107</v>
      </c>
      <c r="E1" t="s">
        <v>91</v>
      </c>
      <c r="F1" t="s">
        <v>92</v>
      </c>
      <c r="G1" t="s">
        <v>108</v>
      </c>
    </row>
    <row r="2" spans="1:7">
      <c r="A2" t="s">
        <v>6</v>
      </c>
      <c r="B2">
        <v>0.43700000000000006</v>
      </c>
      <c r="C2">
        <v>0.43700000000000006</v>
      </c>
      <c r="D2">
        <v>0.43700000000000006</v>
      </c>
      <c r="E2">
        <v>0.43200000000000005</v>
      </c>
      <c r="F2">
        <v>0.43200000000000005</v>
      </c>
      <c r="G2">
        <v>0.43200000000000005</v>
      </c>
    </row>
    <row r="3" spans="1:7">
      <c r="A3" t="s">
        <v>5</v>
      </c>
      <c r="B3">
        <v>0.35700000000000004</v>
      </c>
      <c r="C3">
        <v>0.35700000000000004</v>
      </c>
      <c r="D3">
        <v>0.35700000000000004</v>
      </c>
      <c r="E3">
        <v>0.34899999999999998</v>
      </c>
      <c r="F3">
        <v>0.34899999999999998</v>
      </c>
      <c r="G3">
        <v>0.34899999999999998</v>
      </c>
    </row>
    <row r="4" spans="1:7">
      <c r="A4" t="s">
        <v>7</v>
      </c>
      <c r="B4">
        <v>0.06</v>
      </c>
      <c r="C4">
        <v>0.06</v>
      </c>
      <c r="D4">
        <v>0.06</v>
      </c>
      <c r="E4">
        <v>6.3E-2</v>
      </c>
      <c r="F4">
        <v>6.3E-2</v>
      </c>
      <c r="G4">
        <v>6.3E-2</v>
      </c>
    </row>
    <row r="5" spans="1:7">
      <c r="A5" t="s">
        <v>75</v>
      </c>
      <c r="B5">
        <f>100/1000</f>
        <v>0.1</v>
      </c>
      <c r="C5">
        <f t="shared" ref="C5:G5" si="0">100/1000</f>
        <v>0.1</v>
      </c>
      <c r="D5">
        <f t="shared" si="0"/>
        <v>0.1</v>
      </c>
      <c r="E5">
        <f t="shared" si="0"/>
        <v>0.1</v>
      </c>
      <c r="F5">
        <f t="shared" si="0"/>
        <v>0.1</v>
      </c>
      <c r="G5">
        <f t="shared" si="0"/>
        <v>0.1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D88E-1E27-DE4E-9153-644CD398C02F}">
  <dimension ref="A1:B2"/>
  <sheetViews>
    <sheetView workbookViewId="0"/>
  </sheetViews>
  <sheetFormatPr baseColWidth="10" defaultRowHeight="16"/>
  <sheetData>
    <row r="1" spans="1:2">
      <c r="B1" t="s">
        <v>103</v>
      </c>
    </row>
    <row r="2" spans="1:2">
      <c r="A2" t="s">
        <v>75</v>
      </c>
      <c r="B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B4EF-3EEF-964B-9CC2-81C1C0E37216}">
  <dimension ref="A1:D2"/>
  <sheetViews>
    <sheetView workbookViewId="0">
      <selection activeCell="C31" sqref="C31"/>
    </sheetView>
  </sheetViews>
  <sheetFormatPr baseColWidth="10" defaultRowHeight="16"/>
  <cols>
    <col min="2" max="2" width="12.5" customWidth="1"/>
  </cols>
  <sheetData>
    <row r="1" spans="1:4">
      <c r="B1" t="s">
        <v>22</v>
      </c>
      <c r="C1" t="s">
        <v>105</v>
      </c>
      <c r="D1" t="s">
        <v>106</v>
      </c>
    </row>
    <row r="2" spans="1:4">
      <c r="A2" t="s">
        <v>104</v>
      </c>
      <c r="B2">
        <v>1.8</v>
      </c>
      <c r="C2">
        <v>1</v>
      </c>
      <c r="D2">
        <v>0.55000000000000004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7BDF-2651-6044-AF4A-BB79C86ED856}">
  <dimension ref="A1:I27"/>
  <sheetViews>
    <sheetView tabSelected="1" zoomScale="119" zoomScaleNormal="73" workbookViewId="0">
      <selection activeCell="K23" sqref="J20:K23"/>
    </sheetView>
  </sheetViews>
  <sheetFormatPr baseColWidth="10" defaultRowHeight="16"/>
  <cols>
    <col min="1" max="1" width="23" customWidth="1"/>
    <col min="2" max="2" width="16.83203125" customWidth="1"/>
  </cols>
  <sheetData>
    <row r="1" spans="1:4">
      <c r="B1" t="s">
        <v>73</v>
      </c>
    </row>
    <row r="2" spans="1:4">
      <c r="A2" s="2" t="s">
        <v>97</v>
      </c>
      <c r="B2">
        <v>0.65</v>
      </c>
      <c r="D2" s="2"/>
    </row>
    <row r="3" spans="1:4" ht="16" customHeight="1">
      <c r="A3" t="s">
        <v>54</v>
      </c>
      <c r="B3">
        <f>90/1000</f>
        <v>0.09</v>
      </c>
    </row>
    <row r="4" spans="1:4">
      <c r="A4" s="5" t="s">
        <v>68</v>
      </c>
      <c r="B4">
        <v>0</v>
      </c>
    </row>
    <row r="5" spans="1:4">
      <c r="A5" t="s">
        <v>74</v>
      </c>
      <c r="B5">
        <f>1700/1000</f>
        <v>1.7</v>
      </c>
      <c r="D5" s="5"/>
    </row>
    <row r="6" spans="1:4">
      <c r="A6" t="s">
        <v>70</v>
      </c>
      <c r="B6">
        <f>0.0686*1.22</f>
        <v>8.3691999999999989E-2</v>
      </c>
    </row>
    <row r="7" spans="1:4">
      <c r="A7" t="s">
        <v>93</v>
      </c>
      <c r="B7">
        <f>850*1.22/1000</f>
        <v>1.0369999999999999</v>
      </c>
    </row>
    <row r="8" spans="1:4">
      <c r="A8" t="s">
        <v>67</v>
      </c>
      <c r="B8">
        <f>0.0094/0.4536</f>
        <v>2.0723104056437392E-2</v>
      </c>
    </row>
    <row r="9" spans="1:4">
      <c r="A9" t="s">
        <v>94</v>
      </c>
      <c r="B9">
        <v>9.4799999999999995E-2</v>
      </c>
    </row>
    <row r="10" spans="1:4">
      <c r="A10" s="5" t="s">
        <v>85</v>
      </c>
      <c r="B10">
        <f>0.084/0.45359237</f>
        <v>0.18518830023529717</v>
      </c>
    </row>
    <row r="11" spans="1:4">
      <c r="A11" t="s">
        <v>58</v>
      </c>
      <c r="B11">
        <f>6/ 293.07107</f>
        <v>2.0472849810798451E-2</v>
      </c>
      <c r="D11" s="5"/>
    </row>
    <row r="12" spans="1:4">
      <c r="A12" s="7" t="s">
        <v>99</v>
      </c>
      <c r="B12">
        <f>170*1.22</f>
        <v>207.4</v>
      </c>
    </row>
    <row r="13" spans="1:4">
      <c r="A13" t="s">
        <v>53</v>
      </c>
      <c r="B13">
        <f>300/1000</f>
        <v>0.3</v>
      </c>
      <c r="D13" s="7"/>
    </row>
    <row r="14" spans="1:4">
      <c r="A14" s="2" t="s">
        <v>100</v>
      </c>
      <c r="B14">
        <f>90/1000</f>
        <v>0.09</v>
      </c>
    </row>
    <row r="15" spans="1:4">
      <c r="A15" t="s">
        <v>65</v>
      </c>
      <c r="B15">
        <f>0.007*3.6</f>
        <v>2.52E-2</v>
      </c>
      <c r="D15" s="2"/>
    </row>
    <row r="16" spans="1:4">
      <c r="A16" t="s">
        <v>66</v>
      </c>
      <c r="B16">
        <f>0.41*1.22</f>
        <v>0.50019999999999998</v>
      </c>
    </row>
    <row r="17" spans="1:9">
      <c r="A17" t="s">
        <v>55</v>
      </c>
      <c r="B17">
        <v>1</v>
      </c>
    </row>
    <row r="18" spans="1:9">
      <c r="A18" s="5" t="s">
        <v>72</v>
      </c>
      <c r="B18">
        <f>11.5*10^(-2)/3.5168528421</f>
        <v>3.2699690650499512E-2</v>
      </c>
    </row>
    <row r="19" spans="1:9">
      <c r="A19" t="s">
        <v>57</v>
      </c>
      <c r="B19">
        <f>0.0284*1.22</f>
        <v>3.4647999999999998E-2</v>
      </c>
    </row>
    <row r="20" spans="1:9">
      <c r="A20" s="5" t="s">
        <v>64</v>
      </c>
      <c r="B20">
        <f>7.04/0.4536/1000</f>
        <v>1.5520282186948852E-2</v>
      </c>
    </row>
    <row r="21" spans="1:9">
      <c r="A21" s="5" t="s">
        <v>71</v>
      </c>
      <c r="B21">
        <f>0.3/0.45359237</f>
        <v>0.66138678655463268</v>
      </c>
      <c r="D21" s="5"/>
    </row>
    <row r="22" spans="1:9">
      <c r="A22" t="s">
        <v>86</v>
      </c>
      <c r="B22">
        <f>20/1000</f>
        <v>0.02</v>
      </c>
    </row>
    <row r="23" spans="1:9">
      <c r="A23" t="s">
        <v>56</v>
      </c>
      <c r="B23">
        <f>1.24/1000/3.7854</f>
        <v>3.2757436466423627E-4</v>
      </c>
      <c r="D23" s="5"/>
    </row>
    <row r="24" spans="1:9">
      <c r="A24" t="s">
        <v>95</v>
      </c>
      <c r="B24">
        <f>(65+150)/2/1000</f>
        <v>0.1075</v>
      </c>
      <c r="D24" s="5"/>
    </row>
    <row r="25" spans="1:9">
      <c r="A25" t="s">
        <v>96</v>
      </c>
      <c r="B25">
        <f>175/1000</f>
        <v>0.17499999999999999</v>
      </c>
    </row>
    <row r="26" spans="1:9">
      <c r="A26" t="s">
        <v>101</v>
      </c>
      <c r="B26">
        <f>4/ 293.07107</f>
        <v>1.36485665405323E-2</v>
      </c>
      <c r="I26" s="10"/>
    </row>
    <row r="27" spans="1:9"/>
  </sheetData>
  <sortState xmlns:xlrd2="http://schemas.microsoft.com/office/spreadsheetml/2017/richdata2" ref="D3:D27">
    <sortCondition ref="D2:D27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FF9B-9087-3942-A28A-D7B50A6EC16A}">
  <dimension ref="A1:A17"/>
  <sheetViews>
    <sheetView workbookViewId="0">
      <selection activeCell="E1" sqref="E1:F18"/>
    </sheetView>
  </sheetViews>
  <sheetFormatPr baseColWidth="10" defaultRowHeight="16"/>
  <cols>
    <col min="5" max="5" width="40.1640625" customWidth="1"/>
  </cols>
  <sheetData>
    <row r="1" spans="1:1">
      <c r="A1" t="s">
        <v>109</v>
      </c>
    </row>
    <row r="2" spans="1:1">
      <c r="A2" s="2" t="s">
        <v>97</v>
      </c>
    </row>
    <row r="3" spans="1:1">
      <c r="A3" t="s">
        <v>54</v>
      </c>
    </row>
    <row r="4" spans="1:1">
      <c r="A4" t="s">
        <v>74</v>
      </c>
    </row>
    <row r="5" spans="1:1">
      <c r="A5" t="s">
        <v>93</v>
      </c>
    </row>
    <row r="6" spans="1:1">
      <c r="A6" t="s">
        <v>67</v>
      </c>
    </row>
    <row r="7" spans="1:1">
      <c r="A7" t="s">
        <v>94</v>
      </c>
    </row>
    <row r="8" spans="1:1">
      <c r="A8" s="7" t="s">
        <v>99</v>
      </c>
    </row>
    <row r="9" spans="1:1">
      <c r="A9" s="5" t="s">
        <v>85</v>
      </c>
    </row>
    <row r="10" spans="1:1">
      <c r="A10" t="s">
        <v>53</v>
      </c>
    </row>
    <row r="11" spans="1:1">
      <c r="A11" s="2" t="s">
        <v>100</v>
      </c>
    </row>
    <row r="12" spans="1:1">
      <c r="A12" t="s">
        <v>66</v>
      </c>
    </row>
    <row r="13" spans="1:1">
      <c r="A13" t="s">
        <v>55</v>
      </c>
    </row>
    <row r="14" spans="1:1">
      <c r="A14" s="5" t="s">
        <v>71</v>
      </c>
    </row>
    <row r="15" spans="1:1">
      <c r="A15" t="s">
        <v>86</v>
      </c>
    </row>
    <row r="16" spans="1:1">
      <c r="A16" t="s">
        <v>95</v>
      </c>
    </row>
    <row r="17" spans="1:1">
      <c r="A17" t="s">
        <v>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0E80-6B3C-8848-9CFA-4F1AB07337F7}">
  <dimension ref="A1:B18"/>
  <sheetViews>
    <sheetView workbookViewId="0">
      <selection activeCell="H21" sqref="H21"/>
    </sheetView>
  </sheetViews>
  <sheetFormatPr baseColWidth="10" defaultRowHeight="16"/>
  <cols>
    <col min="1" max="1" width="45" customWidth="1"/>
  </cols>
  <sheetData>
    <row r="1" spans="1:2">
      <c r="A1" t="s">
        <v>119</v>
      </c>
      <c r="B1" t="s">
        <v>120</v>
      </c>
    </row>
    <row r="2" spans="1:2">
      <c r="A2" s="2" t="s">
        <v>97</v>
      </c>
      <c r="B2" s="5" t="s">
        <v>68</v>
      </c>
    </row>
    <row r="3" spans="1:2">
      <c r="A3" t="s">
        <v>54</v>
      </c>
      <c r="B3" t="s">
        <v>58</v>
      </c>
    </row>
    <row r="4" spans="1:2">
      <c r="A4" t="s">
        <v>74</v>
      </c>
      <c r="B4" t="s">
        <v>70</v>
      </c>
    </row>
    <row r="5" spans="1:2">
      <c r="A5" t="s">
        <v>93</v>
      </c>
      <c r="B5" t="s">
        <v>65</v>
      </c>
    </row>
    <row r="6" spans="1:2">
      <c r="A6" t="s">
        <v>67</v>
      </c>
      <c r="B6" s="5" t="s">
        <v>72</v>
      </c>
    </row>
    <row r="7" spans="1:2">
      <c r="A7" t="s">
        <v>94</v>
      </c>
      <c r="B7" t="s">
        <v>57</v>
      </c>
    </row>
    <row r="8" spans="1:2">
      <c r="A8" s="5" t="s">
        <v>85</v>
      </c>
      <c r="B8" s="5" t="s">
        <v>64</v>
      </c>
    </row>
    <row r="9" spans="1:2">
      <c r="A9" s="7" t="s">
        <v>99</v>
      </c>
      <c r="B9" t="s">
        <v>101</v>
      </c>
    </row>
    <row r="10" spans="1:2">
      <c r="A10" t="s">
        <v>53</v>
      </c>
    </row>
    <row r="11" spans="1:2">
      <c r="A11" s="2" t="s">
        <v>100</v>
      </c>
    </row>
    <row r="12" spans="1:2">
      <c r="A12" t="s">
        <v>66</v>
      </c>
    </row>
    <row r="13" spans="1:2">
      <c r="A13" t="s">
        <v>55</v>
      </c>
    </row>
    <row r="14" spans="1:2">
      <c r="A14" s="5" t="s">
        <v>71</v>
      </c>
    </row>
    <row r="15" spans="1:2">
      <c r="A15" t="s">
        <v>86</v>
      </c>
    </row>
    <row r="16" spans="1:2">
      <c r="A16" t="s">
        <v>56</v>
      </c>
    </row>
    <row r="17" spans="1:1">
      <c r="A17" t="s">
        <v>95</v>
      </c>
    </row>
    <row r="18" spans="1:1">
      <c r="A18" t="s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FA55-B448-7F48-A66A-D9EACD9734C8}">
  <dimension ref="A1:F2"/>
  <sheetViews>
    <sheetView workbookViewId="0">
      <selection activeCell="C5" sqref="C5"/>
    </sheetView>
  </sheetViews>
  <sheetFormatPr baseColWidth="10" defaultRowHeight="16"/>
  <cols>
    <col min="5" max="5" width="15.5" customWidth="1"/>
    <col min="6" max="6" width="13.1640625" customWidth="1"/>
  </cols>
  <sheetData>
    <row r="1" spans="1:6">
      <c r="B1" t="s">
        <v>9</v>
      </c>
      <c r="C1" t="s">
        <v>8</v>
      </c>
      <c r="D1" t="s">
        <v>10</v>
      </c>
      <c r="E1" t="s">
        <v>12</v>
      </c>
      <c r="F1" t="s">
        <v>11</v>
      </c>
    </row>
    <row r="2" spans="1:6">
      <c r="A2" t="s">
        <v>30</v>
      </c>
      <c r="B2">
        <v>3</v>
      </c>
      <c r="C2">
        <v>1.4</v>
      </c>
      <c r="D2">
        <v>10</v>
      </c>
      <c r="E2">
        <v>0.15</v>
      </c>
      <c r="F2">
        <v>0.85299999999999998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Bioreffinery capacity</vt:lpstr>
      <vt:lpstr>Feed</vt:lpstr>
      <vt:lpstr>Feedstock1</vt:lpstr>
      <vt:lpstr>Feedstock2</vt:lpstr>
      <vt:lpstr>MainProducts</vt:lpstr>
      <vt:lpstr>Utility Price</vt:lpstr>
      <vt:lpstr>Efactor</vt:lpstr>
      <vt:lpstr>Raw</vt:lpstr>
      <vt:lpstr>Preprocessing</vt:lpstr>
      <vt:lpstr>PretreatmentSize</vt:lpstr>
      <vt:lpstr>PreprocessingRawMaterials</vt:lpstr>
      <vt:lpstr>PretreatmentRawMaterials</vt:lpstr>
      <vt:lpstr>PretreatmentByproducts</vt:lpstr>
      <vt:lpstr>PretreatmentRecovery</vt:lpstr>
      <vt:lpstr>FermentationRawMaterials</vt:lpstr>
      <vt:lpstr>Bioconversions</vt:lpstr>
      <vt:lpstr>FermentationStrains</vt:lpstr>
      <vt:lpstr>Purification process</vt:lpstr>
      <vt:lpstr>Lignin Conversion process</vt:lpstr>
      <vt:lpstr>Manure Conversion process </vt:lpstr>
      <vt:lpstr>AFEX</vt:lpstr>
      <vt:lpstr>Dilute_Acid</vt:lpstr>
      <vt:lpstr>Ionic_Liquid</vt:lpstr>
      <vt:lpstr>LHW</vt:lpstr>
      <vt:lpstr>Lime</vt:lpstr>
      <vt:lpstr>Steam_Explosion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rappazzo</dc:creator>
  <cp:lastModifiedBy>julien rappazzo</cp:lastModifiedBy>
  <dcterms:created xsi:type="dcterms:W3CDTF">2021-05-05T13:24:30Z</dcterms:created>
  <dcterms:modified xsi:type="dcterms:W3CDTF">2021-07-08T11:40:17Z</dcterms:modified>
</cp:coreProperties>
</file>