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tu-MasterThesis\Optimization\Inputs\"/>
    </mc:Choice>
  </mc:AlternateContent>
  <xr:revisionPtr revIDLastSave="0" documentId="13_ncr:1_{9926B143-2FD3-442D-9C6C-DDCAADBA3C5E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LCI_Factors" sheetId="38" r:id="rId1"/>
    <sheet name="Distances_SupplierPlant" sheetId="28" r:id="rId2"/>
    <sheet name="Distances_PlantMarket" sheetId="30" r:id="rId3"/>
    <sheet name="Technology_Cost" sheetId="1" r:id="rId4"/>
    <sheet name="Labor_Salary" sheetId="33" r:id="rId5"/>
    <sheet name="Utility_Consumption" sheetId="3" r:id="rId6"/>
    <sheet name="Byproduct_Production" sheetId="4" r:id="rId7"/>
    <sheet name="Feedstock_Composition" sheetId="5" r:id="rId8"/>
    <sheet name="Compatibility_Pretreatment" sheetId="6" r:id="rId9"/>
    <sheet name="Yield_Pretreatment" sheetId="7" r:id="rId10"/>
    <sheet name="Compatibility_Conversion_Full" sheetId="8" r:id="rId11"/>
    <sheet name="Compatibility_Conversion" sheetId="36" r:id="rId12"/>
    <sheet name="Yield_Hydrolysis" sheetId="9" r:id="rId13"/>
    <sheet name="Yield_Conversion" sheetId="10" r:id="rId14"/>
    <sheet name="Solid_Loading" sheetId="11" r:id="rId15"/>
    <sheet name="Compatibility_Purification" sheetId="12" r:id="rId16"/>
    <sheet name="Yield_Purification" sheetId="13" r:id="rId17"/>
    <sheet name="Demand" sheetId="17" r:id="rId18"/>
    <sheet name="Supply" sheetId="18" r:id="rId19"/>
    <sheet name="Price_F" sheetId="19" r:id="rId20"/>
    <sheet name="Price_U" sheetId="20" r:id="rId21"/>
    <sheet name="Price_P" sheetId="21" r:id="rId22"/>
    <sheet name="CEPCI" sheetId="23" r:id="rId23"/>
    <sheet name="Economics" sheetId="32" r:id="rId24"/>
    <sheet name="CEPCI_Old" sheetId="22" r:id="rId25"/>
    <sheet name="Capital_Investment" sheetId="37" r:id="rId26"/>
    <sheet name="Compatibility_SupplierPlant" sheetId="24" r:id="rId27"/>
    <sheet name="Compatibility_PlantMarket" sheetId="25" r:id="rId28"/>
  </sheets>
  <definedNames>
    <definedName name="_xlnm._FilterDatabase" localSheetId="6" hidden="1">Byproduct_Production!$A$1:$C$155</definedName>
    <definedName name="_xlnm._FilterDatabase" localSheetId="11" hidden="1">Compatibility_Conversion!$A$1:$D$79</definedName>
    <definedName name="_xlnm._FilterDatabase" localSheetId="10" hidden="1">Compatibility_Conversion_Full!$A$1:$F$1</definedName>
    <definedName name="_xlnm._FilterDatabase" localSheetId="8" hidden="1">Compatibility_Pretreatment!$A$1:$C$31</definedName>
    <definedName name="_xlnm._FilterDatabase" localSheetId="15" hidden="1">Compatibility_Purification!$A$1:$C$22</definedName>
    <definedName name="_xlnm._FilterDatabase" localSheetId="7" hidden="1">Feedstock_Composition!$A$1:$C$19</definedName>
    <definedName name="_xlnm._FilterDatabase" localSheetId="0" hidden="1">LCI_Factors!$A$1:$B$577</definedName>
    <definedName name="_xlnm._FilterDatabase" localSheetId="20" hidden="1">Price_U!$A$1:$E$27</definedName>
    <definedName name="_xlnm._FilterDatabase" localSheetId="5" hidden="1">Utility_Consumption!$A$1:$D$577</definedName>
    <definedName name="_xlnm._FilterDatabase" localSheetId="13" hidden="1">Yield_Conversion!$A$1:$E$70</definedName>
    <definedName name="_xlnm._FilterDatabase" localSheetId="12" hidden="1">Yield_Hydrolysis!$A$1:$E$133</definedName>
    <definedName name="_xlnm._FilterDatabase" localSheetId="9" hidden="1">Yield_Pretreatment!$A$1:$C$37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F3" i="18"/>
  <c r="F4" i="18"/>
  <c r="F5" i="18"/>
  <c r="F6" i="18"/>
  <c r="F7" i="18"/>
  <c r="F8" i="18"/>
  <c r="F9" i="18"/>
  <c r="F10" i="18"/>
  <c r="D28" i="38"/>
  <c r="C28" i="38"/>
  <c r="B28" i="38"/>
  <c r="G3" i="1"/>
  <c r="G4" i="1"/>
  <c r="G5" i="1"/>
  <c r="G6" i="1"/>
  <c r="G7" i="1"/>
  <c r="G8" i="1"/>
  <c r="G9" i="1"/>
  <c r="G10" i="1"/>
  <c r="G11" i="1"/>
  <c r="G12" i="1"/>
  <c r="G13" i="1"/>
  <c r="G16" i="1"/>
  <c r="G17" i="1"/>
  <c r="G18" i="1"/>
  <c r="G19" i="1"/>
  <c r="G20" i="1"/>
  <c r="G21" i="1"/>
  <c r="G22" i="1"/>
  <c r="G23" i="1"/>
  <c r="G24" i="1"/>
  <c r="G25" i="1"/>
  <c r="G26" i="1"/>
  <c r="G2" i="1"/>
  <c r="F3" i="21"/>
  <c r="F4" i="21"/>
  <c r="F5" i="21"/>
  <c r="F6" i="21"/>
  <c r="F7" i="21"/>
  <c r="F8" i="21"/>
  <c r="F9" i="21"/>
  <c r="F10" i="21"/>
  <c r="F2" i="21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" i="20"/>
  <c r="F3" i="19"/>
  <c r="F4" i="19"/>
  <c r="F5" i="19"/>
  <c r="F6" i="19"/>
  <c r="F7" i="19"/>
  <c r="F8" i="19"/>
  <c r="F9" i="19"/>
  <c r="F10" i="19"/>
  <c r="F2" i="19"/>
  <c r="F2" i="18"/>
  <c r="F3" i="17"/>
  <c r="F4" i="17"/>
  <c r="F5" i="17"/>
  <c r="F6" i="17"/>
  <c r="F7" i="17"/>
  <c r="F8" i="17"/>
  <c r="F9" i="17"/>
  <c r="F10" i="17"/>
  <c r="F2" i="17"/>
  <c r="B8" i="33"/>
  <c r="B3" i="33"/>
  <c r="B4" i="33"/>
  <c r="B5" i="33"/>
  <c r="B6" i="33"/>
  <c r="B7" i="33"/>
  <c r="B2" i="33"/>
  <c r="B11" i="32"/>
  <c r="B3" i="1"/>
  <c r="B4" i="1"/>
  <c r="B5" i="1"/>
  <c r="B6" i="1"/>
  <c r="B7" i="1"/>
  <c r="B8" i="1"/>
  <c r="B9" i="1"/>
  <c r="B10" i="1"/>
  <c r="B11" i="1"/>
  <c r="B12" i="1"/>
  <c r="B17" i="1"/>
  <c r="B18" i="1"/>
  <c r="B19" i="1"/>
  <c r="B20" i="1"/>
  <c r="B21" i="1"/>
  <c r="B22" i="1"/>
  <c r="B23" i="1"/>
  <c r="B24" i="1"/>
  <c r="B25" i="1"/>
  <c r="B26" i="1"/>
  <c r="B2" i="1"/>
  <c r="M16" i="1"/>
  <c r="B16" i="1" s="1"/>
  <c r="J12" i="1"/>
  <c r="C19" i="5"/>
  <c r="C18" i="5"/>
  <c r="C17" i="5"/>
  <c r="C8" i="5"/>
  <c r="C9" i="5"/>
  <c r="D6" i="38"/>
  <c r="B4" i="38"/>
  <c r="B6" i="32"/>
  <c r="D8" i="33"/>
  <c r="B20" i="3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M14" i="1"/>
  <c r="B14" i="1" s="1"/>
  <c r="M15" i="1"/>
  <c r="B15" i="1" s="1"/>
  <c r="M13" i="1"/>
  <c r="B13" i="1" s="1"/>
  <c r="J14" i="1"/>
  <c r="J15" i="1"/>
  <c r="J16" i="1"/>
  <c r="J13" i="1"/>
  <c r="J20" i="1"/>
  <c r="J19" i="1"/>
  <c r="J18" i="1"/>
  <c r="J7" i="1"/>
  <c r="J8" i="1"/>
  <c r="J10" i="1"/>
  <c r="J11" i="1"/>
  <c r="J9" i="1"/>
  <c r="D76" i="22"/>
  <c r="D54" i="22"/>
  <c r="H56" i="22"/>
  <c r="H55" i="22"/>
  <c r="H54" i="22"/>
  <c r="H53" i="22"/>
  <c r="H52" i="22"/>
  <c r="H51" i="22"/>
  <c r="H50" i="22"/>
  <c r="H49" i="22"/>
  <c r="C61" i="22"/>
  <c r="D61" i="22"/>
  <c r="E61" i="22"/>
  <c r="F61" i="22"/>
  <c r="G61" i="22"/>
  <c r="C62" i="22"/>
  <c r="D62" i="22"/>
  <c r="E62" i="22"/>
  <c r="F62" i="22"/>
  <c r="G62" i="22"/>
  <c r="O27" i="22"/>
  <c r="O28" i="22"/>
  <c r="O29" i="22"/>
  <c r="F30" i="22"/>
  <c r="O30" i="22"/>
  <c r="F31" i="22"/>
  <c r="O31" i="22"/>
  <c r="F32" i="22"/>
  <c r="O32" i="22"/>
  <c r="F33" i="22"/>
  <c r="O33" i="22"/>
  <c r="F34" i="22"/>
  <c r="O34" i="22"/>
  <c r="F35" i="22"/>
  <c r="O35" i="22"/>
  <c r="F36" i="22"/>
  <c r="M36" i="22"/>
  <c r="O36" i="22"/>
  <c r="F37" i="22"/>
  <c r="O37" i="22"/>
  <c r="F38" i="22"/>
  <c r="O38" i="22"/>
  <c r="F39" i="22"/>
  <c r="O39" i="22"/>
  <c r="F40" i="22"/>
  <c r="O40" i="22"/>
  <c r="F41" i="22"/>
  <c r="O41" i="22"/>
  <c r="F42" i="22"/>
  <c r="O42" i="22"/>
  <c r="O43" i="22"/>
  <c r="O44" i="22"/>
  <c r="O45" i="22"/>
  <c r="O46" i="22"/>
  <c r="O47" i="22"/>
  <c r="O48" i="22"/>
  <c r="S27" i="22" a="1"/>
  <c r="S27" i="22" s="1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D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B31" i="22"/>
  <c r="E31" i="22" s="1"/>
  <c r="B32" i="22"/>
  <c r="B33" i="22"/>
  <c r="E33" i="22" s="1"/>
  <c r="B34" i="22"/>
  <c r="E34" i="22" s="1"/>
  <c r="B35" i="22"/>
  <c r="E35" i="22" s="1"/>
  <c r="B36" i="22"/>
  <c r="D36" i="22" s="1"/>
  <c r="B37" i="22"/>
  <c r="D37" i="22" s="1"/>
  <c r="B38" i="22"/>
  <c r="D38" i="22" s="1"/>
  <c r="B39" i="22"/>
  <c r="D39" i="22" s="1"/>
  <c r="B40" i="22"/>
  <c r="E40" i="22" s="1"/>
  <c r="B41" i="22"/>
  <c r="E41" i="22" s="1"/>
  <c r="B42" i="22"/>
  <c r="E42" i="22" s="1"/>
  <c r="B30" i="22"/>
  <c r="E30" i="22" s="1"/>
  <c r="H61" i="22" l="1"/>
  <c r="H62" i="22"/>
  <c r="B62" i="22"/>
  <c r="B61" i="22"/>
  <c r="T27" i="22"/>
  <c r="U27" i="22"/>
  <c r="W27" i="22"/>
  <c r="U41" i="22"/>
  <c r="U38" i="22"/>
  <c r="U36" i="22"/>
  <c r="U43" i="22"/>
  <c r="T42" i="22"/>
  <c r="AB42" i="22" s="1"/>
  <c r="T41" i="22"/>
  <c r="T40" i="22"/>
  <c r="T39" i="22"/>
  <c r="T38" i="22"/>
  <c r="AB38" i="22" s="1"/>
  <c r="AC38" i="22" s="1"/>
  <c r="T37" i="22"/>
  <c r="AB37" i="22" s="1"/>
  <c r="T36" i="22"/>
  <c r="U35" i="22"/>
  <c r="U34" i="22"/>
  <c r="U33" i="22"/>
  <c r="U32" i="22"/>
  <c r="U31" i="22"/>
  <c r="U30" i="22"/>
  <c r="U28" i="22"/>
  <c r="U46" i="22"/>
  <c r="U48" i="22"/>
  <c r="U42" i="22"/>
  <c r="U40" i="22"/>
  <c r="U37" i="22"/>
  <c r="U44" i="22"/>
  <c r="T43" i="22"/>
  <c r="T35" i="22"/>
  <c r="T34" i="22"/>
  <c r="T33" i="22"/>
  <c r="T32" i="22"/>
  <c r="T31" i="22"/>
  <c r="T30" i="22"/>
  <c r="AB30" i="22" s="1"/>
  <c r="T28" i="22"/>
  <c r="AB28" i="22" s="1"/>
  <c r="T46" i="22"/>
  <c r="AB46" i="22" s="1"/>
  <c r="AC46" i="22" s="1"/>
  <c r="T48" i="22"/>
  <c r="T47" i="22"/>
  <c r="U39" i="22"/>
  <c r="E32" i="22"/>
  <c r="U45" i="22"/>
  <c r="T44" i="22"/>
  <c r="AB44" i="22" s="1"/>
  <c r="U29" i="22"/>
  <c r="T29" i="22"/>
  <c r="U47" i="22"/>
  <c r="T45" i="22"/>
  <c r="AB45" i="22" s="1"/>
  <c r="AC45" i="22" s="1"/>
  <c r="D35" i="22"/>
  <c r="E39" i="22"/>
  <c r="D34" i="22"/>
  <c r="E38" i="22"/>
  <c r="D33" i="22"/>
  <c r="E37" i="22"/>
  <c r="D32" i="22"/>
  <c r="E36" i="22"/>
  <c r="D31" i="22"/>
  <c r="D42" i="22"/>
  <c r="D30" i="22"/>
  <c r="D41" i="22"/>
  <c r="D40" i="22"/>
  <c r="B9" i="32"/>
  <c r="AB39" i="22" l="1"/>
  <c r="AC39" i="22" s="1"/>
  <c r="AB40" i="22"/>
  <c r="AC40" i="22" s="1"/>
  <c r="AB33" i="22"/>
  <c r="AC33" i="22" s="1"/>
  <c r="AB41" i="22"/>
  <c r="AC41" i="22" s="1"/>
  <c r="AC42" i="22"/>
  <c r="AB43" i="22"/>
  <c r="AC43" i="22" s="1"/>
  <c r="AB31" i="22"/>
  <c r="AC31" i="22" s="1"/>
  <c r="AB34" i="22"/>
  <c r="AC34" i="22" s="1"/>
  <c r="AB35" i="22"/>
  <c r="AC35" i="22" s="1"/>
  <c r="AB32" i="22"/>
  <c r="AB47" i="22"/>
  <c r="AC47" i="22" s="1"/>
  <c r="AB36" i="22"/>
  <c r="V26" i="22"/>
  <c r="V57" i="22"/>
  <c r="V48" i="22"/>
  <c r="V27" i="22"/>
  <c r="AA27" i="22" s="1"/>
  <c r="V51" i="22"/>
  <c r="V46" i="22"/>
  <c r="V58" i="22"/>
  <c r="V32" i="22"/>
  <c r="V34" i="22"/>
  <c r="V43" i="22"/>
  <c r="V42" i="22"/>
  <c r="V59" i="22"/>
  <c r="V49" i="22"/>
  <c r="V47" i="22"/>
  <c r="V29" i="22"/>
  <c r="V45" i="22"/>
  <c r="V53" i="22"/>
  <c r="V30" i="22"/>
  <c r="V35" i="22"/>
  <c r="V55" i="22"/>
  <c r="V36" i="22"/>
  <c r="V37" i="22"/>
  <c r="V38" i="22"/>
  <c r="V39" i="22"/>
  <c r="V40" i="22"/>
  <c r="V41" i="22"/>
  <c r="V50" i="22"/>
  <c r="V54" i="22"/>
  <c r="V44" i="22"/>
  <c r="V60" i="22"/>
  <c r="V31" i="22"/>
  <c r="V33" i="22"/>
  <c r="V52" i="22"/>
  <c r="V28" i="22"/>
  <c r="V56" i="22"/>
  <c r="AB29" i="22"/>
  <c r="AC29" i="22" s="1"/>
  <c r="AB48" i="22"/>
  <c r="AC48" i="22" s="1"/>
  <c r="AC37" i="22"/>
  <c r="E18" i="9"/>
  <c r="C205" i="3"/>
  <c r="AD28" i="22" l="1"/>
  <c r="AA58" i="22"/>
  <c r="AA46" i="22"/>
  <c r="AA33" i="22"/>
  <c r="AA44" i="22"/>
  <c r="AA53" i="22"/>
  <c r="AA51" i="22"/>
  <c r="AA35" i="22"/>
  <c r="AA45" i="22"/>
  <c r="AC44" i="22"/>
  <c r="AA52" i="22"/>
  <c r="AA30" i="22"/>
  <c r="AA50" i="22"/>
  <c r="AA29" i="22"/>
  <c r="AA48" i="22"/>
  <c r="AA36" i="22"/>
  <c r="AA31" i="22"/>
  <c r="AA47" i="22"/>
  <c r="AA57" i="22"/>
  <c r="AA55" i="22"/>
  <c r="AA40" i="22"/>
  <c r="AA49" i="22"/>
  <c r="AA39" i="22"/>
  <c r="AA59" i="22"/>
  <c r="AC36" i="22"/>
  <c r="AC30" i="22"/>
  <c r="AA34" i="22"/>
  <c r="AA60" i="22"/>
  <c r="AA41" i="22"/>
  <c r="AA38" i="22"/>
  <c r="AA42" i="22"/>
  <c r="AA32" i="22"/>
  <c r="AA54" i="22"/>
  <c r="AA56" i="22"/>
  <c r="AA28" i="22"/>
  <c r="W28" i="22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AA37" i="22"/>
  <c r="AA43" i="22"/>
  <c r="AC32" i="22"/>
  <c r="AD29" i="22" s="1" a="1"/>
  <c r="AD29" i="22" s="1"/>
  <c r="AH29" i="22" s="1"/>
  <c r="AH30" i="22" s="1"/>
  <c r="AH31" i="22" s="1"/>
  <c r="AH32" i="22" s="1"/>
  <c r="AH33" i="22" s="1"/>
  <c r="AH34" i="22" s="1"/>
  <c r="AH35" i="22" s="1"/>
  <c r="AH36" i="22" s="1"/>
  <c r="AH37" i="22" s="1"/>
  <c r="AH38" i="22" s="1"/>
  <c r="AH39" i="22" s="1"/>
  <c r="AH40" i="22" s="1"/>
  <c r="AH41" i="22" s="1"/>
  <c r="AH42" i="22" s="1"/>
  <c r="AH43" i="22" s="1"/>
  <c r="AH44" i="22" s="1"/>
  <c r="AH45" i="22" s="1"/>
  <c r="AH46" i="22" s="1"/>
  <c r="AH47" i="22" s="1"/>
  <c r="AH48" i="22" s="1"/>
  <c r="C12" i="20"/>
  <c r="C23" i="20"/>
  <c r="T49" i="22" l="1"/>
  <c r="AE28" i="22"/>
  <c r="C25" i="7"/>
  <c r="AE29" i="22" l="1"/>
  <c r="AF28" i="22"/>
  <c r="T50" i="22"/>
  <c r="S49" i="22"/>
  <c r="T51" i="22" l="1"/>
  <c r="S50" i="22"/>
  <c r="AE30" i="22"/>
  <c r="AF29" i="22"/>
  <c r="C557" i="3"/>
  <c r="C553" i="3"/>
  <c r="C554" i="3"/>
  <c r="C556" i="3"/>
  <c r="C552" i="3"/>
  <c r="C538" i="3"/>
  <c r="C537" i="3"/>
  <c r="C539" i="3"/>
  <c r="C208" i="3"/>
  <c r="C206" i="3"/>
  <c r="C207" i="3"/>
  <c r="C209" i="3"/>
  <c r="C97" i="3"/>
  <c r="C9" i="3"/>
  <c r="C306" i="3"/>
  <c r="C196" i="3"/>
  <c r="C413" i="3"/>
  <c r="C105" i="3"/>
  <c r="C327" i="3"/>
  <c r="C195" i="3"/>
  <c r="C107" i="3"/>
  <c r="C63" i="3"/>
  <c r="C326" i="3"/>
  <c r="C304" i="3"/>
  <c r="AE31" i="22" l="1"/>
  <c r="AF30" i="22"/>
  <c r="T52" i="22"/>
  <c r="S51" i="22"/>
  <c r="C13" i="5"/>
  <c r="C12" i="5"/>
  <c r="C11" i="5"/>
  <c r="C10" i="5"/>
  <c r="T53" i="22" l="1"/>
  <c r="S52" i="22"/>
  <c r="AE32" i="22"/>
  <c r="AF31" i="22"/>
  <c r="AE33" i="22" l="1"/>
  <c r="AF32" i="22"/>
  <c r="S53" i="22"/>
  <c r="T54" i="22"/>
  <c r="S54" i="22" l="1"/>
  <c r="T55" i="22"/>
  <c r="AE34" i="22"/>
  <c r="AF33" i="22"/>
  <c r="AE35" i="22" l="1"/>
  <c r="AF34" i="22"/>
  <c r="T56" i="22"/>
  <c r="S55" i="22"/>
  <c r="T57" i="22" l="1"/>
  <c r="S56" i="22"/>
  <c r="AF35" i="22"/>
  <c r="AE36" i="22"/>
  <c r="AE37" i="22" l="1"/>
  <c r="AF36" i="22"/>
  <c r="T58" i="22"/>
  <c r="S57" i="22"/>
  <c r="S58" i="22" l="1"/>
  <c r="T59" i="22"/>
  <c r="AE38" i="22"/>
  <c r="AF37" i="22"/>
  <c r="AF38" i="22" l="1"/>
  <c r="AE39" i="22"/>
  <c r="S59" i="22"/>
  <c r="T60" i="22"/>
  <c r="S60" i="22" s="1"/>
  <c r="AE40" i="22" l="1"/>
  <c r="AF39" i="22"/>
  <c r="AE41" i="22" l="1"/>
  <c r="AF40" i="22"/>
  <c r="AE42" i="22" l="1"/>
  <c r="AF41" i="22"/>
  <c r="AE43" i="22" l="1"/>
  <c r="AF42" i="22"/>
  <c r="AE44" i="22" l="1"/>
  <c r="AF43" i="22"/>
  <c r="AE45" i="22" l="1"/>
  <c r="AF44" i="22"/>
  <c r="AE46" i="22" l="1"/>
  <c r="AF45" i="22"/>
  <c r="AF46" i="22" l="1"/>
  <c r="AE47" i="22"/>
  <c r="AF47" i="22" l="1"/>
  <c r="AE48" i="22"/>
  <c r="AF48" i="22" l="1"/>
  <c r="AE49" i="22"/>
  <c r="AE50" i="22" l="1"/>
  <c r="AF49" i="22"/>
  <c r="AF50" i="22" l="1"/>
  <c r="AE51" i="22"/>
  <c r="AE52" i="22" l="1"/>
  <c r="AF51" i="22"/>
  <c r="AF52" i="22" l="1"/>
  <c r="AE53" i="22"/>
  <c r="AF53" i="22" l="1"/>
  <c r="AE54" i="22"/>
  <c r="AF54" i="22" l="1"/>
  <c r="AE55" i="22"/>
  <c r="AF55" i="22" l="1"/>
  <c r="AE56" i="22"/>
  <c r="AE57" i="22" l="1"/>
  <c r="AF56" i="22"/>
  <c r="AF57" i="22" l="1"/>
  <c r="AE58" i="22"/>
  <c r="AE59" i="22" l="1"/>
  <c r="AF58" i="22"/>
  <c r="AE60" i="22" l="1"/>
  <c r="AF59" i="22"/>
  <c r="AE61" i="22" l="1"/>
  <c r="AF60" i="22"/>
  <c r="AH60" i="22" s="1"/>
  <c r="AE62" i="22" l="1"/>
  <c r="AF61" i="22"/>
  <c r="AE63" i="22" l="1"/>
  <c r="AF63" i="22" s="1"/>
  <c r="AF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tc={691F0B81-2D29-4E63-9411-4F6DE16B14CC}</author>
  </authors>
  <commentList>
    <comment ref="C2" authorId="0" shapeId="0" xr:uid="{691F0B81-2D29-4E63-9411-4F6DE16B14C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https://www.sciencedirect.com/science/article/pii/B9780444643094000015?via%3Dihub#t0010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tc={A652E682-E2CA-4FB5-AA88-FCFD2B300FE6}</author>
    <author>tc={40252028-217A-4B47-A512-E3305CB00BDF}</author>
    <author>tc={C577C192-B2F5-4716-B691-48B074BBBEC9}</author>
    <author>tc={15F9B2E9-F674-4F08-B2E2-1922154BC663}</author>
    <author>tc={DFB174C4-E0FB-4867-AA4E-CC1E2C9E4CA1}</author>
    <author>tc={61A8C41B-CCF7-40FD-8132-5142F77FF8BD}</author>
    <author>tc={11E7D4AF-10A7-4899-B953-E2B4B90642CE}</author>
  </authors>
  <commentList>
    <comment ref="B3" authorId="0" shapeId="0" xr:uid="{A652E682-E2CA-4FB5-AA88-FCFD2B300F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4" authorId="1" shapeId="0" xr:uid="{40252028-217A-4B47-A512-E3305CB00BD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5" authorId="2" shapeId="0" xr:uid="{C577C192-B2F5-4716-B691-48B074BBBE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https://www.sciencedirect.com/science/article/pii/S0263876217305464</t>
      </text>
    </comment>
    <comment ref="B9" authorId="3" shapeId="0" xr:uid="{15F9B2E9-F674-4F08-B2E2-1922154BC6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https://www.sciencedirect.com/science/article/pii/S0098135418304587#bib0051</t>
      </text>
    </comment>
    <comment ref="B11" authorId="4" shapeId="0" xr:uid="{DFB174C4-E0FB-4867-AA4E-CC1E2C9E4C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</t>
      </text>
    </comment>
    <comment ref="B12" authorId="5" shapeId="0" xr:uid="{61A8C41B-CCF7-40FD-8132-5142F77FF8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
</t>
      </text>
    </comment>
    <comment ref="B15" authorId="6" shapeId="0" xr:uid="{11E7D4AF-10A7-4899-B953-E2B4B90642CE}">
      <text>
        <t>[Threaded comment]
Your version of Excel allows you to read this threaded comment; however, any edits to it will get removed if the file is opened in a newer version of Excel. Learn more: https://go.microsoft.com/fwlink/?linkid=870924
Comment:
    Tá no turton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<sst xmlns="http://schemas.openxmlformats.org/spreadsheetml/2006/main" count="4719" uniqueCount="290">
  <si>
    <t>K</t>
  </si>
  <si>
    <t>Value</t>
  </si>
  <si>
    <t>MILL3mm</t>
  </si>
  <si>
    <t>Dilute Acid</t>
  </si>
  <si>
    <t>LHW</t>
  </si>
  <si>
    <t>AFEX</t>
  </si>
  <si>
    <t>Steam Explosion</t>
  </si>
  <si>
    <t>Lime</t>
  </si>
  <si>
    <t>Ionic Liquid</t>
  </si>
  <si>
    <t>SHF</t>
  </si>
  <si>
    <t>SSF</t>
  </si>
  <si>
    <t>SHCF</t>
  </si>
  <si>
    <t>SSCF</t>
  </si>
  <si>
    <t>Reactive Extraction</t>
  </si>
  <si>
    <t>Precipitation</t>
  </si>
  <si>
    <t>Electrodialysis</t>
  </si>
  <si>
    <t>Direct Crystalization</t>
  </si>
  <si>
    <t>Azeotropic Dist</t>
  </si>
  <si>
    <t>Extraction</t>
  </si>
  <si>
    <t>Absorption</t>
  </si>
  <si>
    <t>Flow</t>
  </si>
  <si>
    <t>IN</t>
  </si>
  <si>
    <t>OUT</t>
  </si>
  <si>
    <t>U</t>
  </si>
  <si>
    <t>BP</t>
  </si>
  <si>
    <t>Succinic Acid</t>
  </si>
  <si>
    <t>C</t>
  </si>
  <si>
    <t>F</t>
  </si>
  <si>
    <t>Cellulose</t>
  </si>
  <si>
    <t>Hemicellulose</t>
  </si>
  <si>
    <t>Lignin</t>
  </si>
  <si>
    <t>Xylose</t>
  </si>
  <si>
    <t>Glucose</t>
  </si>
  <si>
    <t>K_prep</t>
  </si>
  <si>
    <t>K_pret</t>
  </si>
  <si>
    <t>K_conv</t>
  </si>
  <si>
    <t>J</t>
  </si>
  <si>
    <t>P</t>
  </si>
  <si>
    <t>Strain1</t>
  </si>
  <si>
    <t>Strain2</t>
  </si>
  <si>
    <t>Strain3</t>
  </si>
  <si>
    <t>Strain5</t>
  </si>
  <si>
    <t xml:space="preserve">Strain6 </t>
  </si>
  <si>
    <t>Strain7</t>
  </si>
  <si>
    <t>Strain8</t>
  </si>
  <si>
    <t>Strain9</t>
  </si>
  <si>
    <t>Strain4</t>
  </si>
  <si>
    <t>Ethanol</t>
  </si>
  <si>
    <t>Lactic Acid</t>
  </si>
  <si>
    <t>K_pur</t>
  </si>
  <si>
    <t>T</t>
  </si>
  <si>
    <t>MILL1.4mm</t>
  </si>
  <si>
    <t>MILL10mm</t>
  </si>
  <si>
    <t>MILL0.853mm</t>
  </si>
  <si>
    <t>MILL0.15mm</t>
  </si>
  <si>
    <t>Ammonia</t>
  </si>
  <si>
    <t>Calcium hydroxide</t>
  </si>
  <si>
    <t>Cooling water</t>
  </si>
  <si>
    <t>Cyclohexane</t>
  </si>
  <si>
    <t>Electricity</t>
  </si>
  <si>
    <t>Ethylene Glycol</t>
  </si>
  <si>
    <t>Gypsum disposal</t>
  </si>
  <si>
    <t>H2SO4</t>
  </si>
  <si>
    <t>HCL</t>
  </si>
  <si>
    <t>Heat</t>
  </si>
  <si>
    <t>Ionic Liquid mat.</t>
  </si>
  <si>
    <t>Iron (II) chloride</t>
  </si>
  <si>
    <t>Lime mat.</t>
  </si>
  <si>
    <t>LP-Steam</t>
  </si>
  <si>
    <t>MeOH</t>
  </si>
  <si>
    <t>Monoethanolamine</t>
  </si>
  <si>
    <t>Refrigeration -15,5°C</t>
  </si>
  <si>
    <t>RNG</t>
  </si>
  <si>
    <t>Steam 150 psig</t>
  </si>
  <si>
    <t>Tri-n-octylamine (0,25 mol/kg) in 1-octanol</t>
  </si>
  <si>
    <t>Waste to landfill</t>
  </si>
  <si>
    <t>Water</t>
  </si>
  <si>
    <t>Olivine</t>
  </si>
  <si>
    <t>Magnesium oxide</t>
  </si>
  <si>
    <t>Cooling</t>
  </si>
  <si>
    <t>Enzymes</t>
  </si>
  <si>
    <t>Glycolic Acid</t>
  </si>
  <si>
    <t>Formic Acid</t>
  </si>
  <si>
    <t>Acetic Acid</t>
  </si>
  <si>
    <t>Phenolic</t>
  </si>
  <si>
    <t>Furfural</t>
  </si>
  <si>
    <t>HMF</t>
  </si>
  <si>
    <t>Year</t>
  </si>
  <si>
    <t>ScaleFactor</t>
  </si>
  <si>
    <t>InstalationFactor</t>
  </si>
  <si>
    <t>BaseScale</t>
  </si>
  <si>
    <t>BaseScaleUnit</t>
  </si>
  <si>
    <t>ton/h</t>
  </si>
  <si>
    <t>S</t>
  </si>
  <si>
    <t>X</t>
  </si>
  <si>
    <t>M</t>
  </si>
  <si>
    <t>DK</t>
  </si>
  <si>
    <t>Lignin_Liquid</t>
  </si>
  <si>
    <t>OriginalUnit</t>
  </si>
  <si>
    <t>Indicator</t>
  </si>
  <si>
    <t>SalvageValue</t>
  </si>
  <si>
    <t>LifeCycle</t>
  </si>
  <si>
    <t>Salary</t>
  </si>
  <si>
    <t>Original Value</t>
  </si>
  <si>
    <t>Type</t>
  </si>
  <si>
    <t>Material</t>
  </si>
  <si>
    <t>Energy</t>
  </si>
  <si>
    <t>Lignin Recovery</t>
  </si>
  <si>
    <t>Manure Fermentation w/ CO2</t>
  </si>
  <si>
    <t>Manure Fermentation w/ Hydrogen</t>
  </si>
  <si>
    <t>2023 Apr Prlm</t>
  </si>
  <si>
    <t>803.4</t>
  </si>
  <si>
    <t>2023 Mar</t>
  </si>
  <si>
    <t>799.1</t>
  </si>
  <si>
    <t>2023 Feb</t>
  </si>
  <si>
    <t>798.0</t>
  </si>
  <si>
    <t>2023 Jan</t>
  </si>
  <si>
    <t>802.6</t>
  </si>
  <si>
    <t>2022 Dec</t>
  </si>
  <si>
    <t>802.9</t>
  </si>
  <si>
    <t>2022 Nov</t>
  </si>
  <si>
    <t>814.6</t>
  </si>
  <si>
    <t>2022 Oct</t>
  </si>
  <si>
    <t>816.2</t>
  </si>
  <si>
    <t>2022 Sep</t>
  </si>
  <si>
    <t>821.3</t>
  </si>
  <si>
    <t>2022 Aug</t>
  </si>
  <si>
    <t>824.5</t>
  </si>
  <si>
    <t>2022 Jul</t>
  </si>
  <si>
    <t>829.8</t>
  </si>
  <si>
    <t>2022 Jun</t>
  </si>
  <si>
    <t>832.6</t>
  </si>
  <si>
    <t>2022 May</t>
  </si>
  <si>
    <t>831.1</t>
  </si>
  <si>
    <t>2022 Apr</t>
  </si>
  <si>
    <t>816.3</t>
  </si>
  <si>
    <t>2022 Mar</t>
  </si>
  <si>
    <t>803.6</t>
  </si>
  <si>
    <t>2022 Feb</t>
  </si>
  <si>
    <t>801.3</t>
  </si>
  <si>
    <t>2022 Jan</t>
  </si>
  <si>
    <t>797.6</t>
  </si>
  <si>
    <t>2021 Dec</t>
  </si>
  <si>
    <t>776.3</t>
  </si>
  <si>
    <t>2021 Nov</t>
  </si>
  <si>
    <t>773.1</t>
  </si>
  <si>
    <t>2021 Oct</t>
  </si>
  <si>
    <t>761.4</t>
  </si>
  <si>
    <t>2021 Sep</t>
  </si>
  <si>
    <t>754.0</t>
  </si>
  <si>
    <t>2021 Aug</t>
  </si>
  <si>
    <t>735.2</t>
  </si>
  <si>
    <t>2021 Jul</t>
  </si>
  <si>
    <t>720.2</t>
  </si>
  <si>
    <t>2021 Jun</t>
  </si>
  <si>
    <t>701.4</t>
  </si>
  <si>
    <t>2021 May</t>
  </si>
  <si>
    <t>686.7</t>
  </si>
  <si>
    <t>2021 Apr</t>
  </si>
  <si>
    <t>677.1</t>
  </si>
  <si>
    <t>Cost</t>
  </si>
  <si>
    <t>Factor</t>
  </si>
  <si>
    <t>Base</t>
  </si>
  <si>
    <t>Additional Piping</t>
  </si>
  <si>
    <t>Insulation</t>
  </si>
  <si>
    <t>Electrical Facilities</t>
  </si>
  <si>
    <t>Buildings</t>
  </si>
  <si>
    <t>Yard Improvement</t>
  </si>
  <si>
    <t>Auxiliary Facilities</t>
  </si>
  <si>
    <t>PC</t>
  </si>
  <si>
    <t>TDC</t>
  </si>
  <si>
    <t>Engineeringand Supervision</t>
  </si>
  <si>
    <t>Construction Expenses</t>
  </si>
  <si>
    <t>Contractors's Fee</t>
  </si>
  <si>
    <t>Project Contigency</t>
  </si>
  <si>
    <t>Other</t>
  </si>
  <si>
    <t>Working Capital</t>
  </si>
  <si>
    <t>TDC+</t>
  </si>
  <si>
    <t>FCI</t>
  </si>
  <si>
    <t>HoldingCostFactor</t>
  </si>
  <si>
    <t>DepreciationFactor</t>
  </si>
  <si>
    <t>FeedstockStorageCost</t>
  </si>
  <si>
    <t>SafetyStock</t>
  </si>
  <si>
    <t>Unit</t>
  </si>
  <si>
    <t>€/Mtons</t>
  </si>
  <si>
    <t>OperatingCostFactor</t>
  </si>
  <si>
    <t>MaintenanceCostFactor</t>
  </si>
  <si>
    <t>Equipment</t>
  </si>
  <si>
    <t>Base cost, k€</t>
  </si>
  <si>
    <t>Design variable</t>
  </si>
  <si>
    <t>Base capacity</t>
  </si>
  <si>
    <t>Scaling factor</t>
  </si>
  <si>
    <t>Base year</t>
  </si>
  <si>
    <t>Ref.</t>
  </si>
  <si>
    <t>Anaerobic digestion</t>
  </si>
  <si>
    <t>Biogas stream</t>
  </si>
  <si>
    <t>kg/h</t>
  </si>
  <si>
    <t>0.6</t>
  </si>
  <si>
    <t>[10]</t>
  </si>
  <si>
    <t>Biogas cleaning</t>
  </si>
  <si>
    <t>[65]</t>
  </si>
  <si>
    <t>CO2 capture</t>
  </si>
  <si>
    <t>Hydrogen generator</t>
  </si>
  <si>
    <t>Nominal power</t>
  </si>
  <si>
    <t>kW</t>
  </si>
  <si>
    <t>[56]</t>
  </si>
  <si>
    <t>Methanation</t>
  </si>
  <si>
    <t>RNG chemical energy</t>
  </si>
  <si>
    <t>[57]</t>
  </si>
  <si>
    <t>Shift reactor</t>
  </si>
  <si>
    <t>Feed gas stream</t>
  </si>
  <si>
    <t>0.5</t>
  </si>
  <si>
    <t>RNG compression</t>
  </si>
  <si>
    <t>Compressor power</t>
  </si>
  <si>
    <t>[66]</t>
  </si>
  <si>
    <t>Injection to the grid</t>
  </si>
  <si>
    <t>[67]</t>
  </si>
  <si>
    <t>Cost reference [Refs.]</t>
  </si>
  <si>
    <t>Size unit</t>
  </si>
  <si>
    <t>Ref. size</t>
  </si>
  <si>
    <t>M€ 2012a</t>
  </si>
  <si>
    <t>Scale factor</t>
  </si>
  <si>
    <t>Bark boiler [12]</t>
  </si>
  <si>
    <t>0.7</t>
  </si>
  <si>
    <t>Pre-treatment [27]</t>
  </si>
  <si>
    <t>Wet t/h</t>
  </si>
  <si>
    <t>33.5</t>
  </si>
  <si>
    <t>0.8</t>
  </si>
  <si>
    <t>Air separation unit [27]</t>
  </si>
  <si>
    <t>0.9</t>
  </si>
  <si>
    <t>PEBG unit [28]</t>
  </si>
  <si>
    <t>0.22</t>
  </si>
  <si>
    <t>Gas cleaning [29]</t>
  </si>
  <si>
    <t>Dry gas feed kg/s</t>
  </si>
  <si>
    <t>Synthesis plant [30]</t>
  </si>
  <si>
    <t>Off-gas boiler [17]</t>
  </si>
  <si>
    <t>1.0</t>
  </si>
  <si>
    <t>District heating HEX [17]</t>
  </si>
  <si>
    <t>MW</t>
  </si>
  <si>
    <t>MWth</t>
  </si>
  <si>
    <t>t O2/day</t>
  </si>
  <si>
    <t>TPD NH3</t>
  </si>
  <si>
    <t>T0</t>
  </si>
  <si>
    <t>Original Year</t>
  </si>
  <si>
    <t>OrginalScale</t>
  </si>
  <si>
    <t>Original Value (M€)</t>
  </si>
  <si>
    <t>BaseYear</t>
  </si>
  <si>
    <t>$/1000tkm</t>
  </si>
  <si>
    <t>StreamFactor</t>
  </si>
  <si>
    <t>Operators</t>
  </si>
  <si>
    <t>Solid Steps</t>
  </si>
  <si>
    <t>Liquid Steps</t>
  </si>
  <si>
    <t>Shifts per period</t>
  </si>
  <si>
    <t>Shifts per operator</t>
  </si>
  <si>
    <t>BE</t>
  </si>
  <si>
    <t>ES</t>
  </si>
  <si>
    <t>FR</t>
  </si>
  <si>
    <t>DE</t>
  </si>
  <si>
    <t>NL</t>
  </si>
  <si>
    <t>IT</t>
  </si>
  <si>
    <t>Original Salary</t>
  </si>
  <si>
    <t>Source</t>
  </si>
  <si>
    <t>Original Unit</t>
  </si>
  <si>
    <t>€/h</t>
  </si>
  <si>
    <t>https://www.statista.com/statistics/950053/labor-cost-for-manufacturing-in-european-countries/</t>
  </si>
  <si>
    <t>TransportLoadMin</t>
  </si>
  <si>
    <t>TransportLoadMax</t>
  </si>
  <si>
    <t>TransportFactorKm</t>
  </si>
  <si>
    <t>TransportFactorQty</t>
  </si>
  <si>
    <t>Others</t>
  </si>
  <si>
    <t>CO2</t>
  </si>
  <si>
    <t>Fossil</t>
  </si>
  <si>
    <t>Transport</t>
  </si>
  <si>
    <t>per tkm</t>
  </si>
  <si>
    <t>Wheat</t>
  </si>
  <si>
    <t>Maize</t>
  </si>
  <si>
    <t>Beet</t>
  </si>
  <si>
    <t>€/kg</t>
  </si>
  <si>
    <t>Value Unit</t>
  </si>
  <si>
    <t>€</t>
  </si>
  <si>
    <t>€/ton</t>
  </si>
  <si>
    <t>tons</t>
  </si>
  <si>
    <t>t</t>
  </si>
  <si>
    <t>Scale</t>
  </si>
  <si>
    <t>ton/10year</t>
  </si>
  <si>
    <t>€/10y</t>
  </si>
  <si>
    <t>ton</t>
  </si>
  <si>
    <t>oValue</t>
  </si>
  <si>
    <t>ov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</si>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</sst>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 #\ ###\ ###\ 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3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0" borderId="0" xfId="0" quotePrefix="1"/>
    <xf numFmtId="165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left" indent="1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0-4689-AFBB-42DF5FB0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51855"/>
        <c:axId val="793951631"/>
      </c:lineChart>
      <c:catAx>
        <c:axId val="80635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93951631"/>
        <c:crosses val="autoZero"/>
        <c:auto val="1"/>
        <c:lblAlgn val="ctr"/>
        <c:lblOffset val="100"/>
        <c:noMultiLvlLbl val="0"/>
      </c:catAx>
      <c:valAx>
        <c:axId val="7939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3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0"/>
          </c:trendline>
          <c:val>
            <c:numRef>
              <c:f>CEPCI_Old!$S$27:$S$48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5-409A-A5B8-FFC69CCD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3823"/>
        <c:axId val="919730079"/>
      </c:lineChart>
      <c:catAx>
        <c:axId val="80640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0079"/>
        <c:crosses val="autoZero"/>
        <c:auto val="1"/>
        <c:lblAlgn val="ctr"/>
        <c:lblOffset val="100"/>
        <c:noMultiLvlLbl val="0"/>
      </c:catAx>
      <c:valAx>
        <c:axId val="9197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CEPCI_Old!$W$27:$W$60</c:f>
              <c:numCache>
                <c:formatCode>General</c:formatCode>
                <c:ptCount val="34"/>
                <c:pt idx="0">
                  <c:v>394.3</c:v>
                </c:pt>
                <c:pt idx="1">
                  <c:v>408.29207953089997</c:v>
                </c:pt>
                <c:pt idx="2">
                  <c:v>422.78068021219059</c:v>
                </c:pt>
                <c:pt idx="3">
                  <c:v>437.7834215301134</c:v>
                </c:pt>
                <c:pt idx="4">
                  <c:v>453.31854821375242</c:v>
                </c:pt>
                <c:pt idx="5">
                  <c:v>469.40495242232191</c:v>
                </c:pt>
                <c:pt idx="6">
                  <c:v>486.06219671978943</c:v>
                </c:pt>
                <c:pt idx="7">
                  <c:v>503.31053786477355</c:v>
                </c:pt>
                <c:pt idx="8">
                  <c:v>521.17095144464668</c:v>
                </c:pt>
                <c:pt idx="9">
                  <c:v>539.66515738380042</c:v>
                </c:pt>
                <c:pt idx="10">
                  <c:v>558.81564635709435</c:v>
                </c:pt>
                <c:pt idx="11">
                  <c:v>578.64570714060881</c:v>
                </c:pt>
                <c:pt idx="12">
                  <c:v>599.17945493296304</c:v>
                </c:pt>
                <c:pt idx="13">
                  <c:v>620.44186068164004</c:v>
                </c:pt>
                <c:pt idx="14">
                  <c:v>642.45878144998153</c:v>
                </c:pt>
                <c:pt idx="15">
                  <c:v>665.25699186178281</c:v>
                </c:pt>
                <c:pt idx="16">
                  <c:v>688.86421666172532</c:v>
                </c:pt>
                <c:pt idx="17">
                  <c:v>713.3091644312459</c:v>
                </c:pt>
                <c:pt idx="18">
                  <c:v>738.62156250084217</c:v>
                </c:pt>
                <c:pt idx="19">
                  <c:v>764.83219310127174</c:v>
                </c:pt>
                <c:pt idx="20">
                  <c:v>791.97293079760868</c:v>
                </c:pt>
                <c:pt idx="21">
                  <c:v>820.07678125167945</c:v>
                </c:pt>
                <c:pt idx="22">
                  <c:v>849.17792136001822</c:v>
                </c:pt>
                <c:pt idx="23">
                  <c:v>879.31174081615234</c:v>
                </c:pt>
                <c:pt idx="24">
                  <c:v>910.51488514776202</c:v>
                </c:pt>
                <c:pt idx="25">
                  <c:v>942.82530028105077</c:v>
                </c:pt>
                <c:pt idx="26">
                  <c:v>976.28227868652152</c:v>
                </c:pt>
                <c:pt idx="27">
                  <c:v>1010.9265071622762</c:v>
                </c:pt>
                <c:pt idx="28">
                  <c:v>1046.800116312947</c:v>
                </c:pt>
                <c:pt idx="29">
                  <c:v>1083.946731784431</c:v>
                </c:pt>
                <c:pt idx="30">
                  <c:v>1122.4115273167336</c:v>
                </c:pt>
                <c:pt idx="31">
                  <c:v>1162.2412796794388</c:v>
                </c:pt>
                <c:pt idx="32">
                  <c:v>1203.4844255566127</c:v>
                </c:pt>
                <c:pt idx="33">
                  <c:v>1246.1911204503169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B-4FF6-9B28-A910081FA5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CEPCI_Old!$X$27:$X$60</c:f>
              <c:numCache>
                <c:formatCode>General</c:formatCode>
                <c:ptCount val="34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B-4FF6-9B28-A910081FA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6607"/>
        <c:axId val="919720959"/>
      </c:lineChart>
      <c:catAx>
        <c:axId val="806406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0959"/>
        <c:crosses val="autoZero"/>
        <c:auto val="1"/>
        <c:lblAlgn val="ctr"/>
        <c:lblOffset val="100"/>
        <c:noMultiLvlLbl val="0"/>
      </c:catAx>
      <c:valAx>
        <c:axId val="91972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CEPCI_Old!$Y$27:$Y$48</c:f>
              <c:numCache>
                <c:formatCode>General</c:formatCode>
                <c:ptCount val="22"/>
                <c:pt idx="0">
                  <c:v>1.0167999999999999</c:v>
                </c:pt>
                <c:pt idx="1">
                  <c:v>1.0185999999999999</c:v>
                </c:pt>
                <c:pt idx="2">
                  <c:v>1.0204</c:v>
                </c:pt>
                <c:pt idx="3">
                  <c:v>1.0222</c:v>
                </c:pt>
                <c:pt idx="4">
                  <c:v>1.0239999999999998</c:v>
                </c:pt>
                <c:pt idx="5">
                  <c:v>1.0257999999999998</c:v>
                </c:pt>
                <c:pt idx="6">
                  <c:v>1.0275999999999998</c:v>
                </c:pt>
                <c:pt idx="7">
                  <c:v>1.0293999999999999</c:v>
                </c:pt>
                <c:pt idx="8">
                  <c:v>1.0311999999999999</c:v>
                </c:pt>
                <c:pt idx="9">
                  <c:v>1.0329999999999999</c:v>
                </c:pt>
                <c:pt idx="10">
                  <c:v>1.0347999999999999</c:v>
                </c:pt>
                <c:pt idx="11">
                  <c:v>1.0366</c:v>
                </c:pt>
                <c:pt idx="12">
                  <c:v>1.0384</c:v>
                </c:pt>
                <c:pt idx="13">
                  <c:v>1.0402</c:v>
                </c:pt>
                <c:pt idx="14">
                  <c:v>1.0419999999999998</c:v>
                </c:pt>
                <c:pt idx="15">
                  <c:v>1.0437999999999998</c:v>
                </c:pt>
                <c:pt idx="16">
                  <c:v>1.0455999999999999</c:v>
                </c:pt>
                <c:pt idx="17">
                  <c:v>1.0473999999999999</c:v>
                </c:pt>
                <c:pt idx="18">
                  <c:v>1.0491999999999999</c:v>
                </c:pt>
                <c:pt idx="19">
                  <c:v>1.0509999999999999</c:v>
                </c:pt>
                <c:pt idx="20">
                  <c:v>1.0528</c:v>
                </c:pt>
                <c:pt idx="21">
                  <c:v>1.0546</c:v>
                </c:pt>
              </c:numCache>
            </c:numRef>
          </c:xVal>
          <c:yVal>
            <c:numRef>
              <c:f>CEPCI_Old!$Z$27:$Z$48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0-48E4-A950-206A5AB6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224959"/>
        <c:axId val="919725759"/>
      </c:scatterChart>
      <c:valAx>
        <c:axId val="93422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5759"/>
        <c:crosses val="autoZero"/>
        <c:crossBetween val="midCat"/>
      </c:valAx>
      <c:valAx>
        <c:axId val="9197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CEPCI_Old!$AF$28:$AF$63</c:f>
              <c:numCache>
                <c:formatCode>General</c:formatCode>
                <c:ptCount val="36"/>
                <c:pt idx="0">
                  <c:v>414.38095238095241</c:v>
                </c:pt>
                <c:pt idx="1">
                  <c:v>434.46190476190475</c:v>
                </c:pt>
                <c:pt idx="2">
                  <c:v>454.54285714285714</c:v>
                </c:pt>
                <c:pt idx="3">
                  <c:v>474.62380952380954</c:v>
                </c:pt>
                <c:pt idx="4">
                  <c:v>494.70476190476194</c:v>
                </c:pt>
                <c:pt idx="5">
                  <c:v>514.78571428571433</c:v>
                </c:pt>
                <c:pt idx="6">
                  <c:v>534.86666666666667</c:v>
                </c:pt>
                <c:pt idx="7">
                  <c:v>554.94761904761901</c:v>
                </c:pt>
                <c:pt idx="8">
                  <c:v>575.02857142857147</c:v>
                </c:pt>
                <c:pt idx="9">
                  <c:v>595.10952380952381</c:v>
                </c:pt>
                <c:pt idx="10">
                  <c:v>615.19047619047615</c:v>
                </c:pt>
                <c:pt idx="11">
                  <c:v>635.2714285714286</c:v>
                </c:pt>
                <c:pt idx="12">
                  <c:v>655.35238095238094</c:v>
                </c:pt>
                <c:pt idx="13">
                  <c:v>675.43333333333328</c:v>
                </c:pt>
                <c:pt idx="14">
                  <c:v>695.51428571428573</c:v>
                </c:pt>
                <c:pt idx="15">
                  <c:v>715.59523809523807</c:v>
                </c:pt>
                <c:pt idx="16">
                  <c:v>735.67619047619041</c:v>
                </c:pt>
                <c:pt idx="17">
                  <c:v>755.75714285714287</c:v>
                </c:pt>
                <c:pt idx="18">
                  <c:v>775.83809523809521</c:v>
                </c:pt>
                <c:pt idx="19">
                  <c:v>795.91904761904766</c:v>
                </c:pt>
                <c:pt idx="20">
                  <c:v>816.00000000000011</c:v>
                </c:pt>
                <c:pt idx="21">
                  <c:v>836.08095238095257</c:v>
                </c:pt>
                <c:pt idx="22">
                  <c:v>856.16190476190502</c:v>
                </c:pt>
                <c:pt idx="23">
                  <c:v>876.24285714285747</c:v>
                </c:pt>
                <c:pt idx="24">
                  <c:v>896.32380952380993</c:v>
                </c:pt>
                <c:pt idx="25">
                  <c:v>916.40476190476238</c:v>
                </c:pt>
                <c:pt idx="26">
                  <c:v>936.48571428571483</c:v>
                </c:pt>
                <c:pt idx="27">
                  <c:v>956.56666666666729</c:v>
                </c:pt>
                <c:pt idx="28">
                  <c:v>976.64761904761986</c:v>
                </c:pt>
                <c:pt idx="29">
                  <c:v>996.72857142857231</c:v>
                </c:pt>
                <c:pt idx="30">
                  <c:v>1016.8095238095248</c:v>
                </c:pt>
                <c:pt idx="31">
                  <c:v>1036.8904761904771</c:v>
                </c:pt>
                <c:pt idx="32">
                  <c:v>1056.9714285714297</c:v>
                </c:pt>
                <c:pt idx="33">
                  <c:v>1077.0523809523822</c:v>
                </c:pt>
                <c:pt idx="34">
                  <c:v>1097.1333333333346</c:v>
                </c:pt>
                <c:pt idx="35">
                  <c:v>1117.2142857142871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A-472E-8DD2-BCD3F5C2FF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CEPCI_Old!$AG$28:$AG$63</c:f>
              <c:numCache>
                <c:formatCode>General</c:formatCode>
                <c:ptCount val="36"/>
                <c:pt idx="0">
                  <c:v>395.6</c:v>
                </c:pt>
                <c:pt idx="1">
                  <c:v>402</c:v>
                </c:pt>
                <c:pt idx="2">
                  <c:v>444.2</c:v>
                </c:pt>
                <c:pt idx="3">
                  <c:v>468.2</c:v>
                </c:pt>
                <c:pt idx="4">
                  <c:v>499.6</c:v>
                </c:pt>
                <c:pt idx="5">
                  <c:v>525.4</c:v>
                </c:pt>
                <c:pt idx="6">
                  <c:v>575.4</c:v>
                </c:pt>
                <c:pt idx="7">
                  <c:v>521.9</c:v>
                </c:pt>
                <c:pt idx="8">
                  <c:v>550.79999999999995</c:v>
                </c:pt>
                <c:pt idx="9">
                  <c:v>585.70000000000005</c:v>
                </c:pt>
                <c:pt idx="10">
                  <c:v>584.6</c:v>
                </c:pt>
                <c:pt idx="11">
                  <c:v>567.29999999999995</c:v>
                </c:pt>
                <c:pt idx="12">
                  <c:v>576.1</c:v>
                </c:pt>
                <c:pt idx="13">
                  <c:v>556.79999999999995</c:v>
                </c:pt>
                <c:pt idx="14">
                  <c:v>541.70000000000005</c:v>
                </c:pt>
                <c:pt idx="15">
                  <c:v>567.5</c:v>
                </c:pt>
                <c:pt idx="16">
                  <c:v>603.1</c:v>
                </c:pt>
                <c:pt idx="17">
                  <c:v>607.5</c:v>
                </c:pt>
                <c:pt idx="18">
                  <c:v>596.20000000000005</c:v>
                </c:pt>
                <c:pt idx="19">
                  <c:v>708.8</c:v>
                </c:pt>
                <c:pt idx="20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A-472E-8DD2-BCD3F5C2F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013807"/>
        <c:axId val="919742559"/>
      </c:lineChart>
      <c:catAx>
        <c:axId val="93801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42559"/>
        <c:crosses val="autoZero"/>
        <c:auto val="1"/>
        <c:lblAlgn val="ctr"/>
        <c:lblOffset val="100"/>
        <c:noMultiLvlLbl val="0"/>
      </c:catAx>
      <c:valAx>
        <c:axId val="9197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801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1-4527-8943-68C5C4F60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39215"/>
        <c:axId val="930252543"/>
      </c:lineChart>
      <c:catAx>
        <c:axId val="97193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52543"/>
        <c:crosses val="autoZero"/>
        <c:auto val="1"/>
        <c:lblAlgn val="ctr"/>
        <c:lblOffset val="100"/>
        <c:noMultiLvlLbl val="0"/>
      </c:catAx>
      <c:valAx>
        <c:axId val="9302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CEPCI_Old!$AC$29:$AC$48</c:f>
              <c:numCache>
                <c:formatCode>General</c:formatCode>
                <c:ptCount val="20"/>
                <c:pt idx="0">
                  <c:v>1.293431397413114E-2</c:v>
                </c:pt>
                <c:pt idx="1">
                  <c:v>9.0793811818412617E-2</c:v>
                </c:pt>
                <c:pt idx="2">
                  <c:v>-4.6157747907684676E-2</c:v>
                </c:pt>
                <c:pt idx="3">
                  <c:v>1.8767435962465218E-2</c:v>
                </c:pt>
                <c:pt idx="4">
                  <c:v>-1.4202383971595234E-2</c:v>
                </c:pt>
                <c:pt idx="5">
                  <c:v>6.1374587877250697E-2</c:v>
                </c:pt>
                <c:pt idx="6">
                  <c:v>-0.26249048947501885</c:v>
                </c:pt>
                <c:pt idx="7">
                  <c:v>0.20897793558204403</c:v>
                </c:pt>
                <c:pt idx="8">
                  <c:v>1.5216839969566687E-2</c:v>
                </c:pt>
                <c:pt idx="9">
                  <c:v>-9.1301039817398344E-2</c:v>
                </c:pt>
                <c:pt idx="10">
                  <c:v>-4.1085467917828966E-2</c:v>
                </c:pt>
                <c:pt idx="11">
                  <c:v>6.6193253867613544E-2</c:v>
                </c:pt>
                <c:pt idx="12">
                  <c:v>-7.1265533857469032E-2</c:v>
                </c:pt>
                <c:pt idx="13">
                  <c:v>1.0651787978696703E-2</c:v>
                </c:pt>
                <c:pt idx="14">
                  <c:v>0.10372812579254331</c:v>
                </c:pt>
                <c:pt idx="15">
                  <c:v>2.4854171950291937E-2</c:v>
                </c:pt>
                <c:pt idx="16">
                  <c:v>-7.9127567841744906E-2</c:v>
                </c:pt>
                <c:pt idx="17">
                  <c:v>-3.9817397920365094E-2</c:v>
                </c:pt>
                <c:pt idx="18">
                  <c:v>0.31422774537154408</c:v>
                </c:pt>
                <c:pt idx="19">
                  <c:v>-1.3695155972609063E-2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B-4966-9AC7-82B371539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53599"/>
        <c:axId val="930266463"/>
      </c:lineChart>
      <c:catAx>
        <c:axId val="97195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66463"/>
        <c:crosses val="autoZero"/>
        <c:auto val="1"/>
        <c:lblAlgn val="ctr"/>
        <c:lblOffset val="100"/>
        <c:noMultiLvlLbl val="0"/>
      </c:catAx>
      <c:valAx>
        <c:axId val="9302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5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587554680664917E-2"/>
                  <c:y val="-6.8558982210557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numRef>
              <c:f>CEPCI_Old!$A$2:$A$29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CEPCI_Old!$B$2:$B$29</c:f>
              <c:numCache>
                <c:formatCode>0.00</c:formatCode>
                <c:ptCount val="28"/>
                <c:pt idx="0">
                  <c:v>381.1</c:v>
                </c:pt>
                <c:pt idx="1">
                  <c:v>381.7</c:v>
                </c:pt>
                <c:pt idx="2">
                  <c:v>386.5</c:v>
                </c:pt>
                <c:pt idx="3">
                  <c:v>389.5</c:v>
                </c:pt>
                <c:pt idx="4">
                  <c:v>390.6</c:v>
                </c:pt>
                <c:pt idx="5">
                  <c:v>394.1</c:v>
                </c:pt>
                <c:pt idx="6">
                  <c:v>394.3</c:v>
                </c:pt>
                <c:pt idx="7">
                  <c:v>395.6</c:v>
                </c:pt>
                <c:pt idx="8">
                  <c:v>402</c:v>
                </c:pt>
                <c:pt idx="9">
                  <c:v>444.2</c:v>
                </c:pt>
                <c:pt idx="10">
                  <c:v>468.2</c:v>
                </c:pt>
                <c:pt idx="11">
                  <c:v>499.6</c:v>
                </c:pt>
                <c:pt idx="12">
                  <c:v>525.4</c:v>
                </c:pt>
                <c:pt idx="13">
                  <c:v>575.4</c:v>
                </c:pt>
                <c:pt idx="14">
                  <c:v>521.9</c:v>
                </c:pt>
                <c:pt idx="15">
                  <c:v>550.79999999999995</c:v>
                </c:pt>
                <c:pt idx="16">
                  <c:v>585.70000000000005</c:v>
                </c:pt>
                <c:pt idx="17">
                  <c:v>584.6</c:v>
                </c:pt>
                <c:pt idx="18">
                  <c:v>567.29999999999995</c:v>
                </c:pt>
                <c:pt idx="19">
                  <c:v>576.1</c:v>
                </c:pt>
                <c:pt idx="20">
                  <c:v>556.79999999999995</c:v>
                </c:pt>
                <c:pt idx="21">
                  <c:v>541.70000000000005</c:v>
                </c:pt>
                <c:pt idx="22">
                  <c:v>567.5</c:v>
                </c:pt>
                <c:pt idx="23">
                  <c:v>603.1</c:v>
                </c:pt>
                <c:pt idx="24">
                  <c:v>607.5</c:v>
                </c:pt>
                <c:pt idx="25">
                  <c:v>596.20000000000005</c:v>
                </c:pt>
                <c:pt idx="26">
                  <c:v>708</c:v>
                </c:pt>
                <c:pt idx="27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4-4BED-94A3-2203CD494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759807"/>
        <c:axId val="919734399"/>
      </c:lineChart>
      <c:catAx>
        <c:axId val="80575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4399"/>
        <c:crosses val="autoZero"/>
        <c:auto val="1"/>
        <c:lblAlgn val="ctr"/>
        <c:lblOffset val="100"/>
        <c:noMultiLvlLbl val="0"/>
      </c:catAx>
      <c:valAx>
        <c:axId val="91973439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575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CEPCI_Old!$E$2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layout>
                <c:manualLayout>
                  <c:x val="-3.8493000874890639E-2"/>
                  <c:y val="-0.12475284339457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CEPCI_Old!$E$3:$E$29</c:f>
              <c:numCache>
                <c:formatCode>General</c:formatCode>
                <c:ptCount val="27"/>
                <c:pt idx="0">
                  <c:v>1.0015743899239045</c:v>
                </c:pt>
                <c:pt idx="1">
                  <c:v>1.0125753209326698</c:v>
                </c:pt>
                <c:pt idx="2">
                  <c:v>1.0077619663648125</c:v>
                </c:pt>
                <c:pt idx="3">
                  <c:v>1.002824133504493</c:v>
                </c:pt>
                <c:pt idx="4">
                  <c:v>1.0089605734767024</c:v>
                </c:pt>
                <c:pt idx="5">
                  <c:v>1.0005074854097944</c:v>
                </c:pt>
                <c:pt idx="6">
                  <c:v>1.0032969819934061</c:v>
                </c:pt>
                <c:pt idx="7">
                  <c:v>1.0161779575328613</c:v>
                </c:pt>
                <c:pt idx="8">
                  <c:v>1.1049751243781094</c:v>
                </c:pt>
                <c:pt idx="9">
                  <c:v>1.0540297163439891</c:v>
                </c:pt>
                <c:pt idx="10">
                  <c:v>1.0670653566851773</c:v>
                </c:pt>
                <c:pt idx="11">
                  <c:v>1.0516413130504403</c:v>
                </c:pt>
                <c:pt idx="12">
                  <c:v>1.0951655881233346</c:v>
                </c:pt>
                <c:pt idx="13">
                  <c:v>0.90702120264164054</c:v>
                </c:pt>
                <c:pt idx="14">
                  <c:v>1.0553745928338762</c:v>
                </c:pt>
                <c:pt idx="15">
                  <c:v>1.0633623819898332</c:v>
                </c:pt>
                <c:pt idx="16">
                  <c:v>0.99812190541232704</c:v>
                </c:pt>
                <c:pt idx="17">
                  <c:v>0.97040711597673612</c:v>
                </c:pt>
                <c:pt idx="18">
                  <c:v>1.0155120747399966</c:v>
                </c:pt>
                <c:pt idx="19">
                  <c:v>0.966498871723659</c:v>
                </c:pt>
                <c:pt idx="20">
                  <c:v>0.97288074712643691</c:v>
                </c:pt>
                <c:pt idx="21">
                  <c:v>1.0476278382868747</c:v>
                </c:pt>
                <c:pt idx="22">
                  <c:v>1.0627312775330398</c:v>
                </c:pt>
                <c:pt idx="23">
                  <c:v>1.0072956391974797</c:v>
                </c:pt>
                <c:pt idx="24">
                  <c:v>0.98139917695473255</c:v>
                </c:pt>
                <c:pt idx="25">
                  <c:v>1.187520966118752</c:v>
                </c:pt>
                <c:pt idx="26">
                  <c:v>1.152542372881356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5-4772-8D6E-39B1B9C9A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228207"/>
        <c:axId val="919722399"/>
      </c:lineChart>
      <c:catAx>
        <c:axId val="93422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2399"/>
        <c:crosses val="autoZero"/>
        <c:auto val="1"/>
        <c:lblAlgn val="ctr"/>
        <c:lblOffset val="100"/>
        <c:noMultiLvlLbl val="0"/>
      </c:catAx>
      <c:valAx>
        <c:axId val="9197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4</xdr:row>
      <xdr:rowOff>147637</xdr:rowOff>
    </xdr:from>
    <xdr:to>
      <xdr:col>23</xdr:col>
      <xdr:colOff>495300</xdr:colOff>
      <xdr:row>19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059CC-A794-455A-A547-2CEECF0C8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</xdr:colOff>
      <xdr:row>47</xdr:row>
      <xdr:rowOff>52387</xdr:rowOff>
    </xdr:from>
    <xdr:to>
      <xdr:col>19</xdr:col>
      <xdr:colOff>357187</xdr:colOff>
      <xdr:row>61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692CD5-68E7-EB1F-EA4F-AE0B87195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142875</xdr:colOff>
      <xdr:row>5</xdr:row>
      <xdr:rowOff>61912</xdr:rowOff>
    </xdr:from>
    <xdr:to>
      <xdr:col>15</xdr:col>
      <xdr:colOff>447675</xdr:colOff>
      <xdr:row>19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C2CF16-7AE3-B7BB-7840-4AB5D5407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20</xdr:row>
      <xdr:rowOff>33337</xdr:rowOff>
    </xdr:from>
    <xdr:to>
      <xdr:col>15</xdr:col>
      <xdr:colOff>19050</xdr:colOff>
      <xdr:row>34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C5EF05-ED77-98AC-6726-63121E7C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233362</xdr:colOff>
      <xdr:row>41</xdr:row>
      <xdr:rowOff>157162</xdr:rowOff>
    </xdr:from>
    <xdr:to>
      <xdr:col>33</xdr:col>
      <xdr:colOff>538162</xdr:colOff>
      <xdr:row>56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EADC59-D56F-CA59-4D4D-A494F6A3C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138112</xdr:colOff>
      <xdr:row>51</xdr:row>
      <xdr:rowOff>4762</xdr:rowOff>
    </xdr:from>
    <xdr:to>
      <xdr:col>29</xdr:col>
      <xdr:colOff>442912</xdr:colOff>
      <xdr:row>65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DF08EA-9122-90C9-3AF8-3B1A6C685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242887</xdr:colOff>
      <xdr:row>27</xdr:row>
      <xdr:rowOff>100012</xdr:rowOff>
    </xdr:from>
    <xdr:to>
      <xdr:col>31</xdr:col>
      <xdr:colOff>547687</xdr:colOff>
      <xdr:row>41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4DEFFB-ABF7-13AA-EE64-159737BA4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576262</xdr:colOff>
      <xdr:row>7</xdr:row>
      <xdr:rowOff>23812</xdr:rowOff>
    </xdr:from>
    <xdr:to>
      <xdr:col>13</xdr:col>
      <xdr:colOff>271462</xdr:colOff>
      <xdr:row>21</xdr:row>
      <xdr:rowOff>100012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E8357D-7F10-CD31-31BE-1FB0FD5C1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185737</xdr:colOff>
      <xdr:row>14</xdr:row>
      <xdr:rowOff>80962</xdr:rowOff>
    </xdr:from>
    <xdr:to>
      <xdr:col>19</xdr:col>
      <xdr:colOff>490537</xdr:colOff>
      <xdr:row>28</xdr:row>
      <xdr:rowOff>157162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6538F0E-CD08-42B3-D4BD-F6EEBD05A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go Valente" id="{3B93C88F-1FE1-4E1E-ABE3-F4EB68F6BC0E}" userId="S::digval@dtu.dk::27a7e655-8ce0-4f61-87d8-86b92879ba3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9-10T18:30:41.39" personId="{3B93C88F-1FE1-4E1E-ABE3-F4EB68F6BC0E}" id="{691F0B81-2D29-4E63-9411-4F6DE16B14CC}">
    <text>https://www.sciencedirect.com/science/article/pii/B9780444643094000015?via%3Dihub#t0010</text>
    <extLst>
      <x:ext xmlns:xltc2="http://schemas.microsoft.com/office/spreadsheetml/2020/threadedcomments2" uri="{F7C98A9C-CBB3-438F-8F68-D28B6AF4A901}">
        <xltc2:checksum>3573723055</xltc2:checksum>
        <xltc2:hyperlink startIndex="0" length="87" url="https://www.sciencedirect.com/science/article/pii/B9780444643094000015?via%3Dihub#t0010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3-08-28T21:57:41.77" personId="{3B93C88F-1FE1-4E1E-ABE3-F4EB68F6BC0E}" id="{A652E682-E2CA-4FB5-AA88-FCFD2B300FE6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4" dT="2023-08-28T21:58:29.05" personId="{3B93C88F-1FE1-4E1E-ABE3-F4EB68F6BC0E}" id="{40252028-217A-4B47-A512-E3305CB00BDF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5" dT="2023-08-28T21:58:19.24" personId="{3B93C88F-1FE1-4E1E-ABE3-F4EB68F6BC0E}" id="{C577C192-B2F5-4716-B691-48B074BBBEC9}">
    <text>https://www.sciencedirect.com/science/article/pii/S0263876217305464</text>
    <extLst>
      <x:ext xmlns:xltc2="http://schemas.microsoft.com/office/spreadsheetml/2020/threadedcomments2" uri="{F7C98A9C-CBB3-438F-8F68-D28B6AF4A901}">
        <xltc2:checksum>553908765</xltc2:checksum>
        <xltc2:hyperlink startIndex="0" length="67" url="https://www.sciencedirect.com/science/article/pii/S0263876217305464"/>
      </x:ext>
    </extLst>
  </threadedComment>
  <threadedComment ref="B9" dT="2023-08-28T22:33:56.88" personId="{3B93C88F-1FE1-4E1E-ABE3-F4EB68F6BC0E}" id="{15F9B2E9-F674-4F08-B2E2-1922154BC663}">
    <text>https://www.sciencedirect.com/science/article/pii/S0098135418304587#bib0051</text>
    <extLst>
      <x:ext xmlns:xltc2="http://schemas.microsoft.com/office/spreadsheetml/2020/threadedcomments2" uri="{F7C98A9C-CBB3-438F-8F68-D28B6AF4A901}">
        <xltc2:checksum>3178522559</xltc2:checksum>
        <xltc2:hyperlink startIndex="0" length="75" url="https://www.sciencedirect.com/science/article/pii/S0098135418304587#bib0051"/>
      </x:ext>
    </extLst>
  </threadedComment>
  <threadedComment ref="B11" dT="2023-09-10T15:13:46.59" personId="{3B93C88F-1FE1-4E1E-ABE3-F4EB68F6BC0E}" id="{DFB174C4-E0FB-4867-AA4E-CC1E2C9E4CA1}">
    <text>https://journals.sagepub.com/doi/10.1177/0361198120930228</text>
    <extLst>
      <x:ext xmlns:xltc2="http://schemas.microsoft.com/office/spreadsheetml/2020/threadedcomments2" uri="{F7C98A9C-CBB3-438F-8F68-D28B6AF4A901}">
        <xltc2:checksum>3818509266</xltc2:checksum>
        <xltc2:hyperlink startIndex="0" length="57" url="https://journals.sagepub.com/doi/10.1177/0361198120930228"/>
      </x:ext>
    </extLst>
  </threadedComment>
  <threadedComment ref="B12" dT="2023-08-30T15:09:17.22" personId="{3B93C88F-1FE1-4E1E-ABE3-F4EB68F6BC0E}" id="{61A8C41B-CCF7-40FD-8132-5142F77FF8BD}">
    <text xml:space="preserve">https://journals.sagepub.com/doi/10.1177/0361198120930228
</text>
    <extLst>
      <x:ext xmlns:xltc2="http://schemas.microsoft.com/office/spreadsheetml/2020/threadedcomments2" uri="{F7C98A9C-CBB3-438F-8F68-D28B6AF4A901}">
        <xltc2:checksum>3552456615</xltc2:checksum>
        <xltc2:hyperlink startIndex="0" length="57" url="https://journals.sagepub.com/doi/10.1177/0361198120930228"/>
      </x:ext>
    </extLst>
  </threadedComment>
  <threadedComment ref="B15" dT="2023-08-31T16:18:49.22" personId="{3B93C88F-1FE1-4E1E-ABE3-F4EB68F6BC0E}" id="{11E7D4AF-10A7-4899-B953-E2B4B90642CE}">
    <text>Tá no turton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F2ED-8BDB-42AC-8C65-1B661D5AA401}">
  <dimension ref="A1:E478"/>
  <sheetViews>
    <sheetView workbookViewId="0">
      <selection activeCell="D29" sqref="D29"/>
    </sheetView>
  </sheetViews>
  <sheetFormatPr defaultRowHeight="15" x14ac:dyDescent="0.25"/>
  <cols>
    <col min="1" max="1" width="39.7109375" bestFit="1" customWidth="1"/>
    <col min="2" max="2" width="10" bestFit="1" customWidth="1"/>
    <col min="3" max="3" width="11.7109375" bestFit="1" customWidth="1"/>
  </cols>
  <sheetData>
    <row r="1" spans="1:5" x14ac:dyDescent="0.25">
      <c r="A1" s="1" t="s">
        <v>23</v>
      </c>
      <c r="B1" s="1" t="s">
        <v>270</v>
      </c>
      <c r="C1" s="1" t="s">
        <v>76</v>
      </c>
      <c r="D1" s="1" t="s">
        <v>271</v>
      </c>
      <c r="E1" s="7" t="s">
        <v>183</v>
      </c>
    </row>
    <row r="2" spans="1:5" x14ac:dyDescent="0.25">
      <c r="A2" t="s">
        <v>55</v>
      </c>
      <c r="B2">
        <v>2.67</v>
      </c>
      <c r="C2">
        <v>1.57</v>
      </c>
      <c r="D2">
        <v>40.799999999999997</v>
      </c>
    </row>
    <row r="3" spans="1:5" x14ac:dyDescent="0.25">
      <c r="A3" t="s">
        <v>56</v>
      </c>
      <c r="B3" s="14">
        <v>2.38</v>
      </c>
      <c r="C3" s="14">
        <v>0.60499999999999998</v>
      </c>
      <c r="D3" s="14">
        <v>29.7</v>
      </c>
    </row>
    <row r="4" spans="1:5" x14ac:dyDescent="0.25">
      <c r="A4" t="s">
        <v>57</v>
      </c>
      <c r="B4" s="14">
        <f>5.14*10^-5</f>
        <v>5.1400000000000003E-5</v>
      </c>
      <c r="C4">
        <v>4.2999999999999997E-2</v>
      </c>
      <c r="D4" s="14">
        <v>7.7899999999999996E-4</v>
      </c>
    </row>
    <row r="5" spans="1:5" x14ac:dyDescent="0.25">
      <c r="A5" t="s">
        <v>58</v>
      </c>
      <c r="B5">
        <v>2.57</v>
      </c>
      <c r="C5">
        <v>1.38</v>
      </c>
      <c r="D5">
        <v>74.900000000000006</v>
      </c>
    </row>
    <row r="6" spans="1:5" x14ac:dyDescent="0.25">
      <c r="A6" t="s">
        <v>59</v>
      </c>
      <c r="B6">
        <v>0.112</v>
      </c>
      <c r="C6">
        <v>2.24E-2</v>
      </c>
      <c r="D6">
        <f>2.34*3.6</f>
        <v>8.4239999999999995</v>
      </c>
    </row>
    <row r="7" spans="1:5" x14ac:dyDescent="0.25">
      <c r="A7" t="s">
        <v>60</v>
      </c>
      <c r="B7">
        <v>1.48</v>
      </c>
      <c r="C7">
        <v>0.94599999999999995</v>
      </c>
      <c r="D7">
        <v>45.6</v>
      </c>
    </row>
    <row r="8" spans="1:5" x14ac:dyDescent="0.25">
      <c r="A8" t="s">
        <v>61</v>
      </c>
    </row>
    <row r="9" spans="1:5" x14ac:dyDescent="0.25">
      <c r="A9" t="s">
        <v>62</v>
      </c>
      <c r="B9">
        <v>9.1399999999999995E-2</v>
      </c>
      <c r="C9">
        <v>0.85399999999999998</v>
      </c>
      <c r="D9">
        <v>4.7</v>
      </c>
    </row>
    <row r="10" spans="1:5" x14ac:dyDescent="0.25">
      <c r="A10" t="s">
        <v>63</v>
      </c>
      <c r="B10">
        <v>0.50600000000000001</v>
      </c>
      <c r="C10">
        <v>0.72299999999999998</v>
      </c>
      <c r="D10">
        <v>10.1</v>
      </c>
    </row>
    <row r="11" spans="1:5" x14ac:dyDescent="0.25">
      <c r="A11" t="s">
        <v>64</v>
      </c>
      <c r="B11">
        <v>0.28399999999999997</v>
      </c>
      <c r="C11">
        <v>3.7499999999999999E-3</v>
      </c>
      <c r="D11">
        <v>4.0999999999999996</v>
      </c>
    </row>
    <row r="12" spans="1:5" x14ac:dyDescent="0.25">
      <c r="A12" t="s">
        <v>65</v>
      </c>
      <c r="B12">
        <v>0</v>
      </c>
      <c r="C12">
        <v>0</v>
      </c>
      <c r="D12">
        <v>0</v>
      </c>
    </row>
    <row r="13" spans="1:5" x14ac:dyDescent="0.25">
      <c r="A13" t="s">
        <v>66</v>
      </c>
      <c r="B13">
        <v>0.17899999999999999</v>
      </c>
      <c r="C13">
        <v>2.4E-2</v>
      </c>
      <c r="D13">
        <v>2.33</v>
      </c>
    </row>
    <row r="14" spans="1:5" x14ac:dyDescent="0.25">
      <c r="A14" t="s">
        <v>67</v>
      </c>
      <c r="B14">
        <v>2.4E-2</v>
      </c>
      <c r="C14">
        <v>4.1500000000000002E-2</v>
      </c>
      <c r="D14">
        <v>0.39400000000000002</v>
      </c>
    </row>
    <row r="15" spans="1:5" x14ac:dyDescent="0.25">
      <c r="A15" t="s">
        <v>68</v>
      </c>
      <c r="B15">
        <v>0.28399999999999997</v>
      </c>
      <c r="C15">
        <v>3.7499999999999999E-3</v>
      </c>
      <c r="D15">
        <v>4.0999999999999996</v>
      </c>
    </row>
    <row r="16" spans="1:5" x14ac:dyDescent="0.25">
      <c r="A16" t="s">
        <v>69</v>
      </c>
      <c r="B16">
        <v>0.67500000000000004</v>
      </c>
      <c r="C16">
        <v>0.16500000000000001</v>
      </c>
      <c r="D16">
        <v>31</v>
      </c>
    </row>
    <row r="17" spans="1:5" x14ac:dyDescent="0.25">
      <c r="A17" t="s">
        <v>70</v>
      </c>
      <c r="B17">
        <v>3.11</v>
      </c>
      <c r="C17">
        <v>1.77</v>
      </c>
      <c r="D17">
        <v>63.8</v>
      </c>
    </row>
    <row r="18" spans="1:5" x14ac:dyDescent="0.25">
      <c r="A18" t="s">
        <v>71</v>
      </c>
    </row>
    <row r="19" spans="1:5" x14ac:dyDescent="0.25">
      <c r="A19" t="s">
        <v>72</v>
      </c>
      <c r="B19">
        <v>0.376</v>
      </c>
      <c r="C19">
        <v>1.2700000000000001E-3</v>
      </c>
      <c r="D19">
        <v>41.2</v>
      </c>
    </row>
    <row r="20" spans="1:5" x14ac:dyDescent="0.25">
      <c r="A20" t="s">
        <v>73</v>
      </c>
      <c r="B20">
        <v>0.28399999999999997</v>
      </c>
      <c r="C20">
        <v>3.7499999999999999E-3</v>
      </c>
      <c r="D20">
        <v>4.0999999999999996</v>
      </c>
    </row>
    <row r="21" spans="1:5" x14ac:dyDescent="0.25">
      <c r="A21" t="s">
        <v>74</v>
      </c>
      <c r="B21" s="14"/>
      <c r="C21" s="14"/>
      <c r="D21" s="14"/>
    </row>
    <row r="22" spans="1:5" x14ac:dyDescent="0.25">
      <c r="A22" t="s">
        <v>75</v>
      </c>
      <c r="B22">
        <v>3.5299999999999998E-2</v>
      </c>
      <c r="C22">
        <v>8.8900000000000007E-2</v>
      </c>
      <c r="D22">
        <v>0.192</v>
      </c>
    </row>
    <row r="23" spans="1:5" x14ac:dyDescent="0.25">
      <c r="A23" t="s">
        <v>76</v>
      </c>
      <c r="B23">
        <v>2.2499999999999999E-4</v>
      </c>
      <c r="C23">
        <v>4.2999999999999997E-2</v>
      </c>
      <c r="D23">
        <v>4.5100000000000001E-3</v>
      </c>
    </row>
    <row r="24" spans="1:5" x14ac:dyDescent="0.25">
      <c r="A24" t="s">
        <v>77</v>
      </c>
      <c r="B24" s="14"/>
      <c r="C24" s="14"/>
      <c r="D24" s="14"/>
    </row>
    <row r="25" spans="1:5" x14ac:dyDescent="0.25">
      <c r="A25" t="s">
        <v>78</v>
      </c>
      <c r="B25">
        <v>1.1499999999999999</v>
      </c>
      <c r="C25">
        <v>4.7899999999999998E-2</v>
      </c>
      <c r="D25">
        <v>2.89</v>
      </c>
    </row>
    <row r="26" spans="1:5" x14ac:dyDescent="0.25">
      <c r="A26" t="s">
        <v>79</v>
      </c>
    </row>
    <row r="27" spans="1:5" x14ac:dyDescent="0.25">
      <c r="A27" t="s">
        <v>80</v>
      </c>
      <c r="B27">
        <v>9.7200000000000006</v>
      </c>
      <c r="C27">
        <v>32.9</v>
      </c>
      <c r="D27">
        <v>121</v>
      </c>
    </row>
    <row r="28" spans="1:5" x14ac:dyDescent="0.25">
      <c r="A28" t="s">
        <v>272</v>
      </c>
      <c r="B28">
        <f>0.0598/1000*10^6</f>
        <v>59.8</v>
      </c>
      <c r="C28">
        <f>-0.00019/1000*10^6</f>
        <v>-0.19</v>
      </c>
      <c r="D28">
        <f>0.889/1000*10^6</f>
        <v>889</v>
      </c>
      <c r="E28" t="s">
        <v>273</v>
      </c>
    </row>
    <row r="97" spans="2:2" x14ac:dyDescent="0.25">
      <c r="B97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</sheetData>
  <autoFilter ref="A1:B577" xr:uid="{00000000-0001-0000-02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85BC-532D-4366-9D6F-7194AF475B53}">
  <dimension ref="A1:C19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s="1" t="s">
        <v>93</v>
      </c>
      <c r="B1" s="1" t="s">
        <v>94</v>
      </c>
      <c r="C1" s="1" t="s">
        <v>1</v>
      </c>
    </row>
    <row r="2" spans="1:3" x14ac:dyDescent="0.25">
      <c r="A2" t="s">
        <v>254</v>
      </c>
      <c r="B2" t="s">
        <v>254</v>
      </c>
      <c r="C2">
        <v>1</v>
      </c>
    </row>
    <row r="3" spans="1:3" x14ac:dyDescent="0.25">
      <c r="A3" t="s">
        <v>254</v>
      </c>
      <c r="B3" t="s">
        <v>255</v>
      </c>
      <c r="C3">
        <v>1</v>
      </c>
    </row>
    <row r="4" spans="1:3" x14ac:dyDescent="0.25">
      <c r="A4" t="s">
        <v>254</v>
      </c>
      <c r="B4" t="s">
        <v>256</v>
      </c>
      <c r="C4">
        <v>1</v>
      </c>
    </row>
    <row r="5" spans="1:3" x14ac:dyDescent="0.25">
      <c r="A5" t="s">
        <v>254</v>
      </c>
      <c r="B5" t="s">
        <v>257</v>
      </c>
      <c r="C5">
        <v>1</v>
      </c>
    </row>
    <row r="6" spans="1:3" x14ac:dyDescent="0.25">
      <c r="A6" t="s">
        <v>254</v>
      </c>
      <c r="B6" t="s">
        <v>258</v>
      </c>
      <c r="C6">
        <v>1</v>
      </c>
    </row>
    <row r="7" spans="1:3" x14ac:dyDescent="0.25">
      <c r="A7" t="s">
        <v>254</v>
      </c>
      <c r="B7" t="s">
        <v>259</v>
      </c>
      <c r="C7">
        <v>1</v>
      </c>
    </row>
    <row r="8" spans="1:3" x14ac:dyDescent="0.25">
      <c r="A8" t="s">
        <v>255</v>
      </c>
      <c r="B8" t="s">
        <v>254</v>
      </c>
      <c r="C8">
        <v>1</v>
      </c>
    </row>
    <row r="9" spans="1:3" x14ac:dyDescent="0.25">
      <c r="A9" t="s">
        <v>255</v>
      </c>
      <c r="B9" t="s">
        <v>255</v>
      </c>
      <c r="C9">
        <v>1</v>
      </c>
    </row>
    <row r="10" spans="1:3" x14ac:dyDescent="0.25">
      <c r="A10" t="s">
        <v>255</v>
      </c>
      <c r="B10" t="s">
        <v>256</v>
      </c>
      <c r="C10">
        <v>1</v>
      </c>
    </row>
    <row r="11" spans="1:3" x14ac:dyDescent="0.25">
      <c r="A11" t="s">
        <v>255</v>
      </c>
      <c r="B11" t="s">
        <v>257</v>
      </c>
      <c r="C11">
        <v>1</v>
      </c>
    </row>
    <row r="12" spans="1:3" x14ac:dyDescent="0.25">
      <c r="A12" t="s">
        <v>255</v>
      </c>
      <c r="B12" t="s">
        <v>258</v>
      </c>
      <c r="C12">
        <v>1</v>
      </c>
    </row>
    <row r="13" spans="1:3" x14ac:dyDescent="0.25">
      <c r="A13" t="s">
        <v>255</v>
      </c>
      <c r="B13" t="s">
        <v>259</v>
      </c>
      <c r="C13">
        <v>1</v>
      </c>
    </row>
    <row r="14" spans="1:3" x14ac:dyDescent="0.25">
      <c r="A14" t="s">
        <v>256</v>
      </c>
      <c r="B14" t="s">
        <v>254</v>
      </c>
      <c r="C14">
        <v>1</v>
      </c>
    </row>
    <row r="15" spans="1:3" x14ac:dyDescent="0.25">
      <c r="A15" t="s">
        <v>256</v>
      </c>
      <c r="B15" t="s">
        <v>255</v>
      </c>
      <c r="C15">
        <v>1</v>
      </c>
    </row>
    <row r="16" spans="1:3" x14ac:dyDescent="0.25">
      <c r="A16" t="s">
        <v>256</v>
      </c>
      <c r="B16" t="s">
        <v>256</v>
      </c>
      <c r="C16">
        <v>529.5</v>
      </c>
    </row>
    <row r="17" spans="1:3" x14ac:dyDescent="0.25">
      <c r="A17" t="s">
        <v>256</v>
      </c>
      <c r="B17" t="s">
        <v>257</v>
      </c>
      <c r="C17">
        <v>1</v>
      </c>
    </row>
    <row r="18" spans="1:3" x14ac:dyDescent="0.25">
      <c r="A18" t="s">
        <v>256</v>
      </c>
      <c r="B18" t="s">
        <v>258</v>
      </c>
      <c r="C18">
        <v>1</v>
      </c>
    </row>
    <row r="19" spans="1:3" x14ac:dyDescent="0.25">
      <c r="A19" t="s">
        <v>256</v>
      </c>
      <c r="B19" t="s">
        <v>259</v>
      </c>
      <c r="C19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0F1F-3D30-4CED-BFCB-2FA0592D3BF0}">
  <dimension ref="A1:C31"/>
  <sheetViews>
    <sheetView topLeftCell="A4" workbookViewId="0">
      <selection activeCell="I29" sqref="I29"/>
    </sheetView>
  </sheetViews>
  <sheetFormatPr defaultRowHeight="15" x14ac:dyDescent="0.25"/>
  <sheetData>
    <row r="1" spans="1:3" x14ac:dyDescent="0.25">
      <c r="A1" s="1" t="s">
        <v>94</v>
      </c>
      <c r="B1" s="1" t="s">
        <v>95</v>
      </c>
      <c r="C1" s="1" t="s">
        <v>1</v>
      </c>
    </row>
    <row r="2" spans="1:3" x14ac:dyDescent="0.25">
      <c r="A2" t="s">
        <v>254</v>
      </c>
      <c r="B2" t="s">
        <v>257</v>
      </c>
      <c r="C2">
        <v>1</v>
      </c>
    </row>
    <row r="3" spans="1:3" x14ac:dyDescent="0.25">
      <c r="A3" t="s">
        <v>255</v>
      </c>
      <c r="B3" t="s">
        <v>257</v>
      </c>
      <c r="C3">
        <v>1</v>
      </c>
    </row>
    <row r="4" spans="1:3" x14ac:dyDescent="0.25">
      <c r="A4" t="s">
        <v>256</v>
      </c>
      <c r="B4" t="s">
        <v>257</v>
      </c>
      <c r="C4">
        <v>1</v>
      </c>
    </row>
    <row r="5" spans="1:3" x14ac:dyDescent="0.25">
      <c r="A5" t="s">
        <v>257</v>
      </c>
      <c r="B5" t="s">
        <v>257</v>
      </c>
      <c r="C5">
        <v>1</v>
      </c>
    </row>
    <row r="6" spans="1:3" x14ac:dyDescent="0.25">
      <c r="A6" t="s">
        <v>258</v>
      </c>
      <c r="B6" t="s">
        <v>257</v>
      </c>
      <c r="C6">
        <v>1</v>
      </c>
    </row>
    <row r="7" spans="1:3" x14ac:dyDescent="0.25">
      <c r="A7" t="s">
        <v>259</v>
      </c>
      <c r="B7" t="s">
        <v>257</v>
      </c>
      <c r="C7">
        <v>1</v>
      </c>
    </row>
    <row r="8" spans="1:3" x14ac:dyDescent="0.25">
      <c r="A8" t="s">
        <v>254</v>
      </c>
      <c r="B8" t="s">
        <v>258</v>
      </c>
      <c r="C8">
        <v>1</v>
      </c>
    </row>
    <row r="9" spans="1:3" x14ac:dyDescent="0.25">
      <c r="A9" t="s">
        <v>255</v>
      </c>
      <c r="B9" t="s">
        <v>258</v>
      </c>
      <c r="C9">
        <v>1</v>
      </c>
    </row>
    <row r="10" spans="1:3" x14ac:dyDescent="0.25">
      <c r="A10" t="s">
        <v>256</v>
      </c>
      <c r="B10" t="s">
        <v>258</v>
      </c>
      <c r="C10">
        <v>1</v>
      </c>
    </row>
    <row r="11" spans="1:3" x14ac:dyDescent="0.25">
      <c r="A11" t="s">
        <v>257</v>
      </c>
      <c r="B11" t="s">
        <v>258</v>
      </c>
      <c r="C11">
        <v>1</v>
      </c>
    </row>
    <row r="12" spans="1:3" x14ac:dyDescent="0.25">
      <c r="A12" t="s">
        <v>258</v>
      </c>
      <c r="B12" t="s">
        <v>258</v>
      </c>
      <c r="C12">
        <v>1</v>
      </c>
    </row>
    <row r="13" spans="1:3" x14ac:dyDescent="0.25">
      <c r="A13" t="s">
        <v>259</v>
      </c>
      <c r="B13" t="s">
        <v>258</v>
      </c>
      <c r="C13">
        <v>1</v>
      </c>
    </row>
    <row r="14" spans="1:3" x14ac:dyDescent="0.25">
      <c r="A14" t="s">
        <v>254</v>
      </c>
      <c r="B14" t="s">
        <v>259</v>
      </c>
      <c r="C14">
        <v>1</v>
      </c>
    </row>
    <row r="15" spans="1:3" x14ac:dyDescent="0.25">
      <c r="A15" t="s">
        <v>255</v>
      </c>
      <c r="B15" t="s">
        <v>259</v>
      </c>
      <c r="C15">
        <v>1</v>
      </c>
    </row>
    <row r="16" spans="1:3" x14ac:dyDescent="0.25">
      <c r="A16" t="s">
        <v>256</v>
      </c>
      <c r="B16" t="s">
        <v>259</v>
      </c>
      <c r="C16">
        <v>1</v>
      </c>
    </row>
    <row r="17" spans="1:3" x14ac:dyDescent="0.25">
      <c r="A17" t="s">
        <v>257</v>
      </c>
      <c r="B17" t="s">
        <v>259</v>
      </c>
      <c r="C17">
        <v>1</v>
      </c>
    </row>
    <row r="18" spans="1:3" x14ac:dyDescent="0.25">
      <c r="A18" t="s">
        <v>258</v>
      </c>
      <c r="B18" t="s">
        <v>259</v>
      </c>
      <c r="C18">
        <v>1</v>
      </c>
    </row>
    <row r="19" spans="1:3" x14ac:dyDescent="0.25">
      <c r="A19" t="s">
        <v>259</v>
      </c>
      <c r="B19" t="s">
        <v>259</v>
      </c>
      <c r="C19">
        <v>1</v>
      </c>
    </row>
    <row r="20" spans="1:3" x14ac:dyDescent="0.25">
      <c r="A20" t="s">
        <v>254</v>
      </c>
      <c r="B20" t="s">
        <v>254</v>
      </c>
      <c r="C20">
        <v>1</v>
      </c>
    </row>
    <row r="21" spans="1:3" x14ac:dyDescent="0.25">
      <c r="A21" t="s">
        <v>255</v>
      </c>
      <c r="B21" t="s">
        <v>254</v>
      </c>
      <c r="C21">
        <v>1</v>
      </c>
    </row>
    <row r="22" spans="1:3" x14ac:dyDescent="0.25">
      <c r="A22" t="s">
        <v>256</v>
      </c>
      <c r="B22" t="s">
        <v>254</v>
      </c>
      <c r="C22">
        <v>1</v>
      </c>
    </row>
    <row r="23" spans="1:3" x14ac:dyDescent="0.25">
      <c r="A23" t="s">
        <v>257</v>
      </c>
      <c r="B23" t="s">
        <v>254</v>
      </c>
      <c r="C23">
        <v>1</v>
      </c>
    </row>
    <row r="24" spans="1:3" x14ac:dyDescent="0.25">
      <c r="A24" t="s">
        <v>258</v>
      </c>
      <c r="B24" t="s">
        <v>254</v>
      </c>
      <c r="C24">
        <v>1</v>
      </c>
    </row>
    <row r="25" spans="1:3" x14ac:dyDescent="0.25">
      <c r="A25" t="s">
        <v>259</v>
      </c>
      <c r="B25" t="s">
        <v>254</v>
      </c>
      <c r="C25">
        <v>1</v>
      </c>
    </row>
    <row r="26" spans="1:3" x14ac:dyDescent="0.25">
      <c r="A26" t="s">
        <v>254</v>
      </c>
      <c r="B26" t="s">
        <v>256</v>
      </c>
      <c r="C26">
        <v>1</v>
      </c>
    </row>
    <row r="27" spans="1:3" x14ac:dyDescent="0.25">
      <c r="A27" t="s">
        <v>255</v>
      </c>
      <c r="B27" t="s">
        <v>256</v>
      </c>
      <c r="C27">
        <v>1</v>
      </c>
    </row>
    <row r="28" spans="1:3" x14ac:dyDescent="0.25">
      <c r="A28" t="s">
        <v>256</v>
      </c>
      <c r="B28" t="s">
        <v>256</v>
      </c>
      <c r="C28">
        <v>529.5</v>
      </c>
    </row>
    <row r="29" spans="1:3" x14ac:dyDescent="0.25">
      <c r="A29" t="s">
        <v>257</v>
      </c>
      <c r="B29" t="s">
        <v>256</v>
      </c>
      <c r="C29">
        <v>1</v>
      </c>
    </row>
    <row r="30" spans="1:3" x14ac:dyDescent="0.25">
      <c r="A30" t="s">
        <v>258</v>
      </c>
      <c r="B30" t="s">
        <v>256</v>
      </c>
      <c r="C30">
        <v>1</v>
      </c>
    </row>
    <row r="31" spans="1:3" x14ac:dyDescent="0.25">
      <c r="A31" t="s">
        <v>259</v>
      </c>
      <c r="B31" t="s">
        <v>256</v>
      </c>
      <c r="C31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O31" sqref="O31"/>
    </sheetView>
  </sheetViews>
  <sheetFormatPr defaultRowHeight="15" x14ac:dyDescent="0.25"/>
  <cols>
    <col min="1" max="1" width="33" bestFit="1" customWidth="1"/>
    <col min="2" max="2" width="15.7109375" bestFit="1" customWidth="1"/>
    <col min="3" max="3" width="11.140625" customWidth="1"/>
    <col min="4" max="4" width="15.7109375" customWidth="1"/>
    <col min="5" max="5" width="11" bestFit="1" customWidth="1"/>
    <col min="6" max="6" width="16" bestFit="1" customWidth="1"/>
    <col min="7" max="7" width="10.5703125" bestFit="1" customWidth="1"/>
    <col min="8" max="8" width="13.7109375" bestFit="1" customWidth="1"/>
    <col min="10" max="10" width="12" bestFit="1" customWidth="1"/>
    <col min="11" max="11" width="11.85546875" bestFit="1" customWidth="1"/>
    <col min="12" max="12" width="12.42578125" bestFit="1" customWidth="1"/>
    <col min="13" max="13" width="18.5703125" bestFit="1" customWidth="1"/>
    <col min="14" max="14" width="19" bestFit="1" customWidth="1"/>
  </cols>
  <sheetData>
    <row r="1" spans="1:16" x14ac:dyDescent="0.25">
      <c r="A1" s="1" t="s">
        <v>0</v>
      </c>
      <c r="B1" s="1" t="s">
        <v>1</v>
      </c>
      <c r="C1" s="1" t="s">
        <v>278</v>
      </c>
      <c r="D1" s="1" t="s">
        <v>246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20</v>
      </c>
      <c r="J1" s="7" t="s">
        <v>244</v>
      </c>
      <c r="K1" s="7" t="s">
        <v>98</v>
      </c>
      <c r="L1" s="7" t="s">
        <v>243</v>
      </c>
      <c r="M1" s="7" t="s">
        <v>245</v>
      </c>
      <c r="N1" s="7" t="s">
        <v>283</v>
      </c>
    </row>
    <row r="2" spans="1:16" x14ac:dyDescent="0.25">
      <c r="A2" t="s">
        <v>2</v>
      </c>
      <c r="B2" s="11">
        <f>M2*(10^6)*INDEX(CEPCI_Old!$B:$B,MATCH(Economics!$B$2,CEPCI_Old!$A:$A,0))/INDEX(CEPCI_Old!$B:$B,MATCH(Technology_Cost!L2,CEPCI_Old!$A:$A,0))*N2^E2</f>
        <v>2168448.0899063442</v>
      </c>
      <c r="C2" s="15" t="s">
        <v>279</v>
      </c>
      <c r="D2">
        <f>Economics!$B$2</f>
        <v>2024</v>
      </c>
      <c r="E2" s="3">
        <v>0.7</v>
      </c>
      <c r="F2" s="3">
        <v>1</v>
      </c>
      <c r="G2" s="3">
        <f>J2*24*335*N2*10/10^6</f>
        <v>20.100000000000001</v>
      </c>
      <c r="H2" t="s">
        <v>284</v>
      </c>
      <c r="I2" t="s">
        <v>21</v>
      </c>
      <c r="J2" s="3">
        <v>50</v>
      </c>
      <c r="K2" t="s">
        <v>92</v>
      </c>
      <c r="L2">
        <v>2003</v>
      </c>
      <c r="M2">
        <v>0.37</v>
      </c>
      <c r="N2">
        <v>5</v>
      </c>
      <c r="P2" s="3"/>
    </row>
    <row r="3" spans="1:16" x14ac:dyDescent="0.25">
      <c r="A3" t="s">
        <v>51</v>
      </c>
      <c r="B3" s="11">
        <f>M3*(10^6)*INDEX(CEPCI_Old!$B:$B,MATCH(Economics!$B$2,CEPCI_Old!$A:$A,0))/INDEX(CEPCI_Old!$B:$B,MATCH(Technology_Cost!L3,CEPCI_Old!$A:$A,0))*N3^E3</f>
        <v>2168448.0899063442</v>
      </c>
      <c r="C3" s="15" t="s">
        <v>279</v>
      </c>
      <c r="D3">
        <f>Economics!$B$2</f>
        <v>2024</v>
      </c>
      <c r="E3" s="3">
        <v>0.7</v>
      </c>
      <c r="F3" s="3">
        <v>1</v>
      </c>
      <c r="G3" s="3">
        <f t="shared" ref="G3:G26" si="0">J3*24*335*N3*10/10^6</f>
        <v>20.100000000000001</v>
      </c>
      <c r="H3" t="s">
        <v>284</v>
      </c>
      <c r="I3" t="s">
        <v>21</v>
      </c>
      <c r="J3" s="3">
        <v>50</v>
      </c>
      <c r="K3" t="s">
        <v>92</v>
      </c>
      <c r="L3">
        <v>2003</v>
      </c>
      <c r="M3">
        <v>0.37</v>
      </c>
      <c r="N3">
        <v>5</v>
      </c>
    </row>
    <row r="4" spans="1:16" x14ac:dyDescent="0.25">
      <c r="A4" t="s">
        <v>52</v>
      </c>
      <c r="B4" s="11">
        <f>M4*(10^6)*INDEX(CEPCI_Old!$B:$B,MATCH(Economics!$B$2,CEPCI_Old!$A:$A,0))/INDEX(CEPCI_Old!$B:$B,MATCH(Technology_Cost!L4,CEPCI_Old!$A:$A,0))*N4^E4</f>
        <v>2168448.0899063442</v>
      </c>
      <c r="C4" s="15" t="s">
        <v>279</v>
      </c>
      <c r="D4">
        <f>Economics!$B$2</f>
        <v>2024</v>
      </c>
      <c r="E4" s="3">
        <v>0.7</v>
      </c>
      <c r="F4" s="3">
        <v>1</v>
      </c>
      <c r="G4" s="3">
        <f t="shared" si="0"/>
        <v>20.100000000000001</v>
      </c>
      <c r="H4" t="s">
        <v>284</v>
      </c>
      <c r="I4" t="s">
        <v>21</v>
      </c>
      <c r="J4" s="3">
        <v>50</v>
      </c>
      <c r="K4" t="s">
        <v>92</v>
      </c>
      <c r="L4">
        <v>2003</v>
      </c>
      <c r="M4">
        <v>0.37</v>
      </c>
      <c r="N4">
        <v>5</v>
      </c>
    </row>
    <row r="5" spans="1:16" x14ac:dyDescent="0.25">
      <c r="A5" t="s">
        <v>53</v>
      </c>
      <c r="B5" s="11">
        <f>M5*(10^6)*INDEX(CEPCI_Old!$B:$B,MATCH(Economics!$B$2,CEPCI_Old!$A:$A,0))/INDEX(CEPCI_Old!$B:$B,MATCH(Technology_Cost!L5,CEPCI_Old!$A:$A,0))*N5^E5</f>
        <v>2168448.0899063442</v>
      </c>
      <c r="C5" s="15" t="s">
        <v>279</v>
      </c>
      <c r="D5">
        <f>Economics!$B$2</f>
        <v>2024</v>
      </c>
      <c r="E5" s="3">
        <v>0.7</v>
      </c>
      <c r="F5" s="3">
        <v>1</v>
      </c>
      <c r="G5" s="3">
        <f t="shared" si="0"/>
        <v>20.100000000000001</v>
      </c>
      <c r="H5" t="s">
        <v>284</v>
      </c>
      <c r="I5" t="s">
        <v>21</v>
      </c>
      <c r="J5" s="3">
        <v>50</v>
      </c>
      <c r="K5" t="s">
        <v>92</v>
      </c>
      <c r="L5">
        <v>2003</v>
      </c>
      <c r="M5">
        <v>0.37</v>
      </c>
      <c r="N5">
        <v>5</v>
      </c>
    </row>
    <row r="6" spans="1:16" x14ac:dyDescent="0.25">
      <c r="A6" t="s">
        <v>54</v>
      </c>
      <c r="B6" s="11">
        <f>M6*(10^6)*INDEX(CEPCI_Old!$B:$B,MATCH(Economics!$B$2,CEPCI_Old!$A:$A,0))/INDEX(CEPCI_Old!$B:$B,MATCH(Technology_Cost!L6,CEPCI_Old!$A:$A,0))*N6^E6</f>
        <v>2168448.0899063442</v>
      </c>
      <c r="C6" s="15" t="s">
        <v>279</v>
      </c>
      <c r="D6">
        <f>Economics!$B$2</f>
        <v>2024</v>
      </c>
      <c r="E6" s="3">
        <v>0.7</v>
      </c>
      <c r="F6" s="3">
        <v>1</v>
      </c>
      <c r="G6" s="3">
        <f t="shared" si="0"/>
        <v>20.100000000000001</v>
      </c>
      <c r="H6" t="s">
        <v>284</v>
      </c>
      <c r="I6" t="s">
        <v>21</v>
      </c>
      <c r="J6" s="3">
        <v>50</v>
      </c>
      <c r="K6" t="s">
        <v>92</v>
      </c>
      <c r="L6">
        <v>2003</v>
      </c>
      <c r="M6">
        <v>0.37</v>
      </c>
      <c r="N6">
        <v>5</v>
      </c>
    </row>
    <row r="7" spans="1:16" x14ac:dyDescent="0.25">
      <c r="A7" t="s">
        <v>3</v>
      </c>
      <c r="B7" s="11">
        <f>M7*(10^6)*INDEX(CEPCI_Old!$B:$B,MATCH(Economics!$B$2,CEPCI_Old!$A:$A,0))/INDEX(CEPCI_Old!$B:$B,MATCH(Technology_Cost!L7,CEPCI_Old!$A:$A,0))*N7^E7</f>
        <v>71164022.817702293</v>
      </c>
      <c r="C7" s="15" t="s">
        <v>279</v>
      </c>
      <c r="D7">
        <f>Economics!$B$2</f>
        <v>2024</v>
      </c>
      <c r="E7" s="3">
        <v>0.78</v>
      </c>
      <c r="F7" s="3">
        <v>2.36</v>
      </c>
      <c r="G7" s="3">
        <f t="shared" si="0"/>
        <v>23.45</v>
      </c>
      <c r="H7" t="s">
        <v>284</v>
      </c>
      <c r="I7" t="s">
        <v>21</v>
      </c>
      <c r="J7" s="3">
        <f t="shared" ref="J7:J8" si="1">2000/24</f>
        <v>83.333333333333329</v>
      </c>
      <c r="K7" t="s">
        <v>92</v>
      </c>
      <c r="L7">
        <v>2003</v>
      </c>
      <c r="M7">
        <v>14.1</v>
      </c>
      <c r="N7">
        <v>3.5</v>
      </c>
    </row>
    <row r="8" spans="1:16" x14ac:dyDescent="0.25">
      <c r="A8" t="s">
        <v>4</v>
      </c>
      <c r="B8" s="11">
        <f>M8*(10^6)*INDEX(CEPCI_Old!$B:$B,MATCH(Economics!$B$2,CEPCI_Old!$A:$A,0))/INDEX(CEPCI_Old!$B:$B,MATCH(Technology_Cost!L8,CEPCI_Old!$A:$A,0))*N8^E8</f>
        <v>28364667.250743747</v>
      </c>
      <c r="C8" s="15" t="s">
        <v>279</v>
      </c>
      <c r="D8">
        <f>Economics!$B$2</f>
        <v>2024</v>
      </c>
      <c r="E8" s="3">
        <v>0.78</v>
      </c>
      <c r="F8" s="3">
        <v>2.36</v>
      </c>
      <c r="G8" s="3">
        <f t="shared" si="0"/>
        <v>23.45</v>
      </c>
      <c r="H8" t="s">
        <v>284</v>
      </c>
      <c r="I8" t="s">
        <v>21</v>
      </c>
      <c r="J8" s="3">
        <f t="shared" si="1"/>
        <v>83.333333333333329</v>
      </c>
      <c r="K8" t="s">
        <v>92</v>
      </c>
      <c r="L8">
        <v>2003</v>
      </c>
      <c r="M8">
        <v>5.62</v>
      </c>
      <c r="N8">
        <v>3.5</v>
      </c>
    </row>
    <row r="9" spans="1:16" x14ac:dyDescent="0.25">
      <c r="A9" t="s">
        <v>5</v>
      </c>
      <c r="B9" s="11">
        <f>M9*(10^6)*INDEX(CEPCI_Old!$B:$B,MATCH(Economics!$B$2,CEPCI_Old!$A:$A,0))/INDEX(CEPCI_Old!$B:$B,MATCH(Technology_Cost!L9,CEPCI_Old!$A:$A,0))*N9^E9</f>
        <v>111370237.20523287</v>
      </c>
      <c r="C9" s="15" t="s">
        <v>279</v>
      </c>
      <c r="D9">
        <f>Economics!$B$2</f>
        <v>2024</v>
      </c>
      <c r="E9" s="3">
        <v>0.78</v>
      </c>
      <c r="F9" s="3">
        <v>2.36</v>
      </c>
      <c r="G9" s="3">
        <f t="shared" si="0"/>
        <v>23.45</v>
      </c>
      <c r="H9" t="s">
        <v>284</v>
      </c>
      <c r="I9" t="s">
        <v>21</v>
      </c>
      <c r="J9" s="3">
        <f>2000/24</f>
        <v>83.333333333333329</v>
      </c>
      <c r="K9" t="s">
        <v>92</v>
      </c>
      <c r="L9">
        <v>2005</v>
      </c>
      <c r="M9">
        <v>25.7</v>
      </c>
      <c r="N9">
        <v>3.5</v>
      </c>
    </row>
    <row r="10" spans="1:16" x14ac:dyDescent="0.25">
      <c r="A10" t="s">
        <v>6</v>
      </c>
      <c r="B10" s="11">
        <f>M10*(10^6)*INDEX(CEPCI_Old!$B:$B,MATCH(Economics!$B$2,CEPCI_Old!$A:$A,0))/INDEX(CEPCI_Old!$B:$B,MATCH(Technology_Cost!L10,CEPCI_Old!$A:$A,0))*N10^E10</f>
        <v>7116402.2817702284</v>
      </c>
      <c r="C10" s="15" t="s">
        <v>279</v>
      </c>
      <c r="D10">
        <f>Economics!$B$2</f>
        <v>2024</v>
      </c>
      <c r="E10" s="3">
        <v>0.78</v>
      </c>
      <c r="F10" s="3">
        <v>2.36</v>
      </c>
      <c r="G10" s="3">
        <f t="shared" si="0"/>
        <v>23.45</v>
      </c>
      <c r="H10" t="s">
        <v>284</v>
      </c>
      <c r="I10" t="s">
        <v>21</v>
      </c>
      <c r="J10" s="3">
        <f t="shared" ref="J10:J11" si="2">2000/24</f>
        <v>83.333333333333329</v>
      </c>
      <c r="K10" t="s">
        <v>92</v>
      </c>
      <c r="L10">
        <v>2003</v>
      </c>
      <c r="M10">
        <v>1.41</v>
      </c>
      <c r="N10">
        <v>3.5</v>
      </c>
    </row>
    <row r="11" spans="1:16" x14ac:dyDescent="0.25">
      <c r="A11" t="s">
        <v>7</v>
      </c>
      <c r="B11" s="11">
        <f>M11*(10^6)*INDEX(CEPCI_Old!$B:$B,MATCH(Economics!$B$2,CEPCI_Old!$A:$A,0))/INDEX(CEPCI_Old!$B:$B,MATCH(Technology_Cost!L11,CEPCI_Old!$A:$A,0))*N11^E11</f>
        <v>277168886.05629164</v>
      </c>
      <c r="C11" s="15" t="s">
        <v>279</v>
      </c>
      <c r="D11">
        <f>Economics!$B$2</f>
        <v>2024</v>
      </c>
      <c r="E11" s="3">
        <v>0.78</v>
      </c>
      <c r="F11" s="3">
        <v>2.36</v>
      </c>
      <c r="G11" s="3">
        <f t="shared" si="0"/>
        <v>23.45</v>
      </c>
      <c r="H11" t="s">
        <v>284</v>
      </c>
      <c r="I11" t="s">
        <v>21</v>
      </c>
      <c r="J11" s="3">
        <f t="shared" si="2"/>
        <v>83.333333333333329</v>
      </c>
      <c r="K11" t="s">
        <v>92</v>
      </c>
      <c r="L11">
        <v>2005</v>
      </c>
      <c r="M11">
        <v>63.96</v>
      </c>
      <c r="N11">
        <v>3.5</v>
      </c>
    </row>
    <row r="12" spans="1:16" x14ac:dyDescent="0.25">
      <c r="A12" t="s">
        <v>8</v>
      </c>
      <c r="B12" s="11">
        <f>M12*(10^6)*INDEX(CEPCI_Old!$B:$B,MATCH(Economics!$B$2,CEPCI_Old!$A:$A,0))/INDEX(CEPCI_Old!$B:$B,MATCH(Technology_Cost!L12,CEPCI_Old!$A:$A,0))*N12^E12</f>
        <v>78537020.01494199</v>
      </c>
      <c r="C12" s="15" t="s">
        <v>279</v>
      </c>
      <c r="D12">
        <f>Economics!$B$2</f>
        <v>2024</v>
      </c>
      <c r="E12" s="3">
        <v>0.78</v>
      </c>
      <c r="F12" s="3">
        <v>2.36</v>
      </c>
      <c r="G12" s="3">
        <f t="shared" si="0"/>
        <v>23.45</v>
      </c>
      <c r="H12" t="s">
        <v>284</v>
      </c>
      <c r="I12" t="s">
        <v>21</v>
      </c>
      <c r="J12" s="3">
        <f>2000/24</f>
        <v>83.333333333333329</v>
      </c>
      <c r="K12" t="s">
        <v>92</v>
      </c>
      <c r="L12">
        <v>2014</v>
      </c>
      <c r="M12">
        <v>22.3</v>
      </c>
      <c r="N12">
        <v>3.5</v>
      </c>
    </row>
    <row r="13" spans="1:16" x14ac:dyDescent="0.25">
      <c r="A13" t="s">
        <v>9</v>
      </c>
      <c r="B13" s="11">
        <f>M13*(10^6)*INDEX(CEPCI_Old!$B:$B,MATCH(Economics!$B$2,CEPCI_Old!$A:$A,0))/INDEX(CEPCI_Old!$B:$B,MATCH(Technology_Cost!L13,CEPCI_Old!$A:$A,0))*N13^E13</f>
        <v>88220009.912571296</v>
      </c>
      <c r="C13" s="15" t="s">
        <v>279</v>
      </c>
      <c r="D13">
        <f>Economics!$B$2</f>
        <v>2024</v>
      </c>
      <c r="E13" s="3">
        <v>0.8</v>
      </c>
      <c r="F13" s="3">
        <v>1.88</v>
      </c>
      <c r="G13" s="3">
        <f t="shared" si="0"/>
        <v>16.723200000000002</v>
      </c>
      <c r="H13" t="s">
        <v>284</v>
      </c>
      <c r="I13" t="s">
        <v>22</v>
      </c>
      <c r="J13" s="3">
        <f>1.04*10</f>
        <v>10.4</v>
      </c>
      <c r="K13" t="s">
        <v>92</v>
      </c>
      <c r="L13">
        <v>2003</v>
      </c>
      <c r="M13" s="10">
        <f>0.67*10^E13</f>
        <v>4.2274142080172963</v>
      </c>
      <c r="N13">
        <v>20</v>
      </c>
    </row>
    <row r="14" spans="1:16" x14ac:dyDescent="0.25">
      <c r="A14" t="s">
        <v>10</v>
      </c>
      <c r="B14" s="11">
        <f>M14*(10^6)*INDEX(CEPCI_Old!$B:$B,MATCH(Economics!$B$2,CEPCI_Old!$A:$A,0))/INDEX(CEPCI_Old!$B:$B,MATCH(Technology_Cost!L14,CEPCI_Old!$A:$A,0))*N14^E14</f>
        <v>88220009.912571296</v>
      </c>
      <c r="C14" s="15" t="s">
        <v>279</v>
      </c>
      <c r="D14">
        <f>Economics!$B$2</f>
        <v>2024</v>
      </c>
      <c r="E14" s="3">
        <v>0.8</v>
      </c>
      <c r="F14" s="3">
        <v>1.88</v>
      </c>
      <c r="G14" s="3">
        <f>J14*24*335*N14*10/10^6</f>
        <v>16.723200000000002</v>
      </c>
      <c r="H14" t="s">
        <v>284</v>
      </c>
      <c r="I14" t="s">
        <v>22</v>
      </c>
      <c r="J14" s="3">
        <f t="shared" ref="J14:J16" si="3">1.04*10</f>
        <v>10.4</v>
      </c>
      <c r="K14" t="s">
        <v>92</v>
      </c>
      <c r="L14">
        <v>2003</v>
      </c>
      <c r="M14" s="10">
        <f t="shared" ref="M14:M15" si="4">0.67*10^E14</f>
        <v>4.2274142080172963</v>
      </c>
      <c r="N14">
        <v>20</v>
      </c>
    </row>
    <row r="15" spans="1:16" x14ac:dyDescent="0.25">
      <c r="A15" t="s">
        <v>11</v>
      </c>
      <c r="B15" s="11">
        <f>M15*(10^6)*INDEX(CEPCI_Old!$B:$B,MATCH(Economics!$B$2,CEPCI_Old!$A:$A,0))/INDEX(CEPCI_Old!$B:$B,MATCH(Technology_Cost!L15,CEPCI_Old!$A:$A,0))*N15^E15</f>
        <v>88220009.912571296</v>
      </c>
      <c r="C15" s="15" t="s">
        <v>279</v>
      </c>
      <c r="D15">
        <f>Economics!$B$2</f>
        <v>2024</v>
      </c>
      <c r="E15" s="3">
        <v>0.8</v>
      </c>
      <c r="F15" s="3">
        <v>1.88</v>
      </c>
      <c r="G15" s="3">
        <f>J15*24*335*N15*10/10^6</f>
        <v>16.723200000000002</v>
      </c>
      <c r="H15" t="s">
        <v>284</v>
      </c>
      <c r="I15" t="s">
        <v>22</v>
      </c>
      <c r="J15" s="3">
        <f t="shared" si="3"/>
        <v>10.4</v>
      </c>
      <c r="K15" t="s">
        <v>92</v>
      </c>
      <c r="L15">
        <v>2003</v>
      </c>
      <c r="M15" s="10">
        <f t="shared" si="4"/>
        <v>4.2274142080172963</v>
      </c>
      <c r="N15">
        <v>20</v>
      </c>
    </row>
    <row r="16" spans="1:16" x14ac:dyDescent="0.25">
      <c r="A16" t="s">
        <v>12</v>
      </c>
      <c r="B16" s="11">
        <f>M16*(10^6)*INDEX(CEPCI_Old!$B:$B,MATCH(Economics!$B$2,CEPCI_Old!$A:$A,0))/INDEX(CEPCI_Old!$B:$B,MATCH(Technology_Cost!L16,CEPCI_Old!$A:$A,0))*N16^E16</f>
        <v>88220009.912571296</v>
      </c>
      <c r="C16" s="15" t="s">
        <v>279</v>
      </c>
      <c r="D16">
        <f>Economics!$B$2</f>
        <v>2024</v>
      </c>
      <c r="E16" s="3">
        <v>0.8</v>
      </c>
      <c r="F16" s="3">
        <v>1.88</v>
      </c>
      <c r="G16" s="3">
        <f t="shared" si="0"/>
        <v>16.723200000000002</v>
      </c>
      <c r="H16" t="s">
        <v>284</v>
      </c>
      <c r="I16" t="s">
        <v>22</v>
      </c>
      <c r="J16" s="3">
        <f t="shared" si="3"/>
        <v>10.4</v>
      </c>
      <c r="K16" t="s">
        <v>92</v>
      </c>
      <c r="L16">
        <v>2003</v>
      </c>
      <c r="M16" s="10">
        <f>0.67*10^E16</f>
        <v>4.2274142080172963</v>
      </c>
      <c r="N16">
        <v>20</v>
      </c>
    </row>
    <row r="17" spans="1:14" x14ac:dyDescent="0.25">
      <c r="A17" t="s">
        <v>13</v>
      </c>
      <c r="B17" s="11">
        <f>M17*(10^6)*INDEX(CEPCI_Old!$B:$B,MATCH(Economics!$B$2,CEPCI_Old!$A:$A,0))/INDEX(CEPCI_Old!$B:$B,MATCH(Technology_Cost!L17,CEPCI_Old!$A:$A,0))*N17^E17</f>
        <v>16732021.639080295</v>
      </c>
      <c r="C17" s="15" t="s">
        <v>279</v>
      </c>
      <c r="D17">
        <f>Economics!$B$2</f>
        <v>2024</v>
      </c>
      <c r="E17" s="3">
        <v>0.6</v>
      </c>
      <c r="F17" s="3">
        <v>1.2</v>
      </c>
      <c r="G17" s="3">
        <f t="shared" si="0"/>
        <v>16.026662639999998</v>
      </c>
      <c r="H17" t="s">
        <v>284</v>
      </c>
      <c r="I17" t="s">
        <v>22</v>
      </c>
      <c r="J17" s="3">
        <v>9.9668299999999999</v>
      </c>
      <c r="K17" t="s">
        <v>92</v>
      </c>
      <c r="L17">
        <v>2010</v>
      </c>
      <c r="M17">
        <v>2</v>
      </c>
      <c r="N17">
        <v>20</v>
      </c>
    </row>
    <row r="18" spans="1:14" x14ac:dyDescent="0.25">
      <c r="A18" t="s">
        <v>14</v>
      </c>
      <c r="B18" s="11">
        <f>M18*(10^6)*INDEX(CEPCI_Old!$B:$B,MATCH(Economics!$B$2,CEPCI_Old!$A:$A,0))/INDEX(CEPCI_Old!$B:$B,MATCH(Technology_Cost!L18,CEPCI_Old!$A:$A,0))*N18^E18</f>
        <v>5837079.5643204441</v>
      </c>
      <c r="C18" s="15" t="s">
        <v>279</v>
      </c>
      <c r="D18">
        <f>Economics!$B$2</f>
        <v>2024</v>
      </c>
      <c r="E18" s="3">
        <v>0.6</v>
      </c>
      <c r="F18" s="3">
        <v>1.2</v>
      </c>
      <c r="G18" s="3">
        <f t="shared" si="0"/>
        <v>12.06</v>
      </c>
      <c r="H18" t="s">
        <v>284</v>
      </c>
      <c r="I18" t="s">
        <v>22</v>
      </c>
      <c r="J18" s="3">
        <f>180/24</f>
        <v>7.5</v>
      </c>
      <c r="K18" t="s">
        <v>92</v>
      </c>
      <c r="L18">
        <v>2012</v>
      </c>
      <c r="M18">
        <v>0.74052899999999999</v>
      </c>
      <c r="N18">
        <v>20</v>
      </c>
    </row>
    <row r="19" spans="1:14" x14ac:dyDescent="0.25">
      <c r="A19" t="s">
        <v>15</v>
      </c>
      <c r="B19" s="11">
        <f>M19*(10^6)*INDEX(CEPCI_Old!$B:$B,MATCH(Economics!$B$2,CEPCI_Old!$A:$A,0))/INDEX(CEPCI_Old!$B:$B,MATCH(Technology_Cost!L19,CEPCI_Old!$A:$A,0))*N19^E19</f>
        <v>123121.69110822848</v>
      </c>
      <c r="C19" s="15" t="s">
        <v>279</v>
      </c>
      <c r="D19">
        <f>Economics!$B$2</f>
        <v>2024</v>
      </c>
      <c r="E19" s="3">
        <v>0.6</v>
      </c>
      <c r="F19" s="3">
        <v>1.2</v>
      </c>
      <c r="G19" s="3">
        <f t="shared" si="0"/>
        <v>17.286000000000001</v>
      </c>
      <c r="H19" t="s">
        <v>284</v>
      </c>
      <c r="I19" t="s">
        <v>22</v>
      </c>
      <c r="J19" s="3">
        <f>258/24</f>
        <v>10.75</v>
      </c>
      <c r="K19" t="s">
        <v>92</v>
      </c>
      <c r="L19">
        <v>2012</v>
      </c>
      <c r="M19">
        <v>1.562E-2</v>
      </c>
      <c r="N19">
        <v>20</v>
      </c>
    </row>
    <row r="20" spans="1:14" x14ac:dyDescent="0.25">
      <c r="A20" t="s">
        <v>16</v>
      </c>
      <c r="B20" s="11">
        <f>M20*(10^6)*INDEX(CEPCI_Old!$B:$B,MATCH(Economics!$B$2,CEPCI_Old!$A:$A,0))/INDEX(CEPCI_Old!$B:$B,MATCH(Technology_Cost!L20,CEPCI_Old!$A:$A,0))*N20^E20</f>
        <v>3865768.8668601243</v>
      </c>
      <c r="C20" s="15" t="s">
        <v>279</v>
      </c>
      <c r="D20">
        <f>Economics!$B$2</f>
        <v>2024</v>
      </c>
      <c r="E20" s="3">
        <v>0.6</v>
      </c>
      <c r="F20" s="3">
        <v>1.2</v>
      </c>
      <c r="G20" s="3">
        <f t="shared" si="0"/>
        <v>10.318</v>
      </c>
      <c r="H20" t="s">
        <v>284</v>
      </c>
      <c r="I20" t="s">
        <v>22</v>
      </c>
      <c r="J20" s="3">
        <f>154/24</f>
        <v>6.416666666666667</v>
      </c>
      <c r="K20" t="s">
        <v>92</v>
      </c>
      <c r="L20">
        <v>2012</v>
      </c>
      <c r="M20">
        <v>0.49043599999999998</v>
      </c>
      <c r="N20">
        <v>20</v>
      </c>
    </row>
    <row r="21" spans="1:14" x14ac:dyDescent="0.25">
      <c r="A21" t="s">
        <v>17</v>
      </c>
      <c r="B21" s="11">
        <f>M21*(10^6)*INDEX(CEPCI_Old!$B:$B,MATCH(Economics!$B$2,CEPCI_Old!$A:$A,0))/INDEX(CEPCI_Old!$B:$B,MATCH(Technology_Cost!L21,CEPCI_Old!$A:$A,0))*N21^E21</f>
        <v>25349012.783206649</v>
      </c>
      <c r="C21" s="15" t="s">
        <v>279</v>
      </c>
      <c r="D21">
        <f>Economics!$B$2</f>
        <v>2024</v>
      </c>
      <c r="E21" s="3">
        <v>0.6</v>
      </c>
      <c r="F21" s="3">
        <v>1.2</v>
      </c>
      <c r="G21" s="3">
        <f t="shared" si="0"/>
        <v>16.037034239999997</v>
      </c>
      <c r="H21" t="s">
        <v>284</v>
      </c>
      <c r="I21" t="s">
        <v>22</v>
      </c>
      <c r="J21" s="3">
        <v>9.9732800000000008</v>
      </c>
      <c r="K21" t="s">
        <v>92</v>
      </c>
      <c r="L21">
        <v>2010</v>
      </c>
      <c r="M21">
        <v>3.03</v>
      </c>
      <c r="N21">
        <v>20</v>
      </c>
    </row>
    <row r="22" spans="1:14" x14ac:dyDescent="0.25">
      <c r="A22" t="s">
        <v>18</v>
      </c>
      <c r="B22" s="11">
        <f>M22*(10^6)*INDEX(CEPCI_Old!$B:$B,MATCH(Economics!$B$2,CEPCI_Old!$A:$A,0))/INDEX(CEPCI_Old!$B:$B,MATCH(Technology_Cost!L22,CEPCI_Old!$A:$A,0))*N22^E22</f>
        <v>16732021.639080295</v>
      </c>
      <c r="C22" s="15" t="s">
        <v>279</v>
      </c>
      <c r="D22">
        <f>Economics!$B$2</f>
        <v>2024</v>
      </c>
      <c r="E22" s="3">
        <v>0.6</v>
      </c>
      <c r="F22" s="3">
        <v>1.2</v>
      </c>
      <c r="G22" s="3">
        <f t="shared" si="0"/>
        <v>16.026662639999998</v>
      </c>
      <c r="H22" t="s">
        <v>284</v>
      </c>
      <c r="I22" t="s">
        <v>22</v>
      </c>
      <c r="J22" s="3">
        <v>9.9668299999999999</v>
      </c>
      <c r="K22" t="s">
        <v>92</v>
      </c>
      <c r="L22">
        <v>2010</v>
      </c>
      <c r="M22">
        <v>2</v>
      </c>
      <c r="N22">
        <v>20</v>
      </c>
    </row>
    <row r="23" spans="1:14" x14ac:dyDescent="0.25">
      <c r="A23" t="s">
        <v>19</v>
      </c>
      <c r="B23" s="11">
        <f>M23*(10^6)*INDEX(CEPCI_Old!$B:$B,MATCH(Economics!$B$2,CEPCI_Old!$A:$A,0))/INDEX(CEPCI_Old!$B:$B,MATCH(Technology_Cost!L23,CEPCI_Old!$A:$A,0))*N23^E23</f>
        <v>19911105.750505552</v>
      </c>
      <c r="C23" s="15" t="s">
        <v>279</v>
      </c>
      <c r="D23">
        <f>Economics!$B$2</f>
        <v>2024</v>
      </c>
      <c r="E23" s="3">
        <v>0.6</v>
      </c>
      <c r="F23" s="3">
        <v>1.2</v>
      </c>
      <c r="G23" s="3">
        <f t="shared" si="0"/>
        <v>13.615691760000002</v>
      </c>
      <c r="H23" t="s">
        <v>284</v>
      </c>
      <c r="I23" t="s">
        <v>22</v>
      </c>
      <c r="J23" s="3">
        <v>8.4674700000000005</v>
      </c>
      <c r="K23" t="s">
        <v>92</v>
      </c>
      <c r="L23">
        <v>2010</v>
      </c>
      <c r="M23">
        <v>2.38</v>
      </c>
      <c r="N23">
        <v>20</v>
      </c>
    </row>
    <row r="24" spans="1:14" x14ac:dyDescent="0.25">
      <c r="A24" t="s">
        <v>107</v>
      </c>
      <c r="B24" s="11">
        <f>M24*(10^6)*INDEX(CEPCI_Old!$B:$B,MATCH(Economics!$B$2,CEPCI_Old!$A:$A,0))/INDEX(CEPCI_Old!$B:$B,MATCH(Technology_Cost!L24,CEPCI_Old!$A:$A,0))*N24^E24</f>
        <v>22084728.745832171</v>
      </c>
      <c r="C24" s="15" t="s">
        <v>279</v>
      </c>
      <c r="D24">
        <f>Economics!$B$2</f>
        <v>2024</v>
      </c>
      <c r="E24" s="3">
        <v>0.7</v>
      </c>
      <c r="F24" s="3">
        <v>1</v>
      </c>
      <c r="G24" s="3">
        <f t="shared" si="0"/>
        <v>18.8538</v>
      </c>
      <c r="H24" t="s">
        <v>284</v>
      </c>
      <c r="I24" t="s">
        <v>21</v>
      </c>
      <c r="J24" s="3">
        <v>33.5</v>
      </c>
      <c r="K24" t="s">
        <v>92</v>
      </c>
      <c r="L24">
        <v>2012</v>
      </c>
      <c r="M24">
        <v>4.33</v>
      </c>
      <c r="N24">
        <v>7</v>
      </c>
    </row>
    <row r="25" spans="1:14" x14ac:dyDescent="0.25">
      <c r="A25" t="s">
        <v>108</v>
      </c>
      <c r="B25" s="11">
        <f>M25*(10^6)*INDEX(CEPCI_Old!$B:$B,MATCH(Economics!$B$2,CEPCI_Old!$A:$A,0))/INDEX(CEPCI_Old!$B:$B,MATCH(Technology_Cost!L25,CEPCI_Old!$A:$A,0))*N25^E25</f>
        <v>22367993.977934003</v>
      </c>
      <c r="C25" s="15" t="s">
        <v>279</v>
      </c>
      <c r="D25">
        <f>Economics!$B$2</f>
        <v>2024</v>
      </c>
      <c r="E25" s="3">
        <v>0.6</v>
      </c>
      <c r="F25" s="3">
        <v>1</v>
      </c>
      <c r="G25" s="3">
        <f t="shared" si="0"/>
        <v>1.2156480000000001</v>
      </c>
      <c r="H25" t="s">
        <v>284</v>
      </c>
      <c r="I25" t="s">
        <v>22</v>
      </c>
      <c r="J25" s="3">
        <v>0.75600000000000001</v>
      </c>
      <c r="K25" t="s">
        <v>92</v>
      </c>
      <c r="L25">
        <v>2022</v>
      </c>
      <c r="M25">
        <v>3.9609999999999999</v>
      </c>
      <c r="N25">
        <v>20</v>
      </c>
    </row>
    <row r="26" spans="1:14" x14ac:dyDescent="0.25">
      <c r="A26" t="s">
        <v>109</v>
      </c>
      <c r="B26" s="11">
        <f>M26*(10^6)*INDEX(CEPCI_Old!$B:$B,MATCH(Economics!$B$2,CEPCI_Old!$A:$A,0))/INDEX(CEPCI_Old!$B:$B,MATCH(Technology_Cost!L26,CEPCI_Old!$A:$A,0))*N26^E26</f>
        <v>47175516.71084591</v>
      </c>
      <c r="C26" s="15" t="s">
        <v>279</v>
      </c>
      <c r="D26">
        <f>Economics!$B$2</f>
        <v>2024</v>
      </c>
      <c r="E26" s="3">
        <v>0.6</v>
      </c>
      <c r="F26" s="3">
        <v>1</v>
      </c>
      <c r="G26" s="3">
        <f t="shared" si="0"/>
        <v>1.2156480000000001</v>
      </c>
      <c r="H26" t="s">
        <v>284</v>
      </c>
      <c r="I26" t="s">
        <v>22</v>
      </c>
      <c r="J26" s="3">
        <v>0.75600000000000001</v>
      </c>
      <c r="K26" t="s">
        <v>92</v>
      </c>
      <c r="L26">
        <v>2022</v>
      </c>
      <c r="M26">
        <v>8.3539999999999992</v>
      </c>
      <c r="N2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041E-FB74-4B38-A724-6E78A11858E8}">
  <dimension ref="A1:F8"/>
  <sheetViews>
    <sheetView workbookViewId="0">
      <selection activeCell="C2" sqref="C2:C8"/>
    </sheetView>
  </sheetViews>
  <sheetFormatPr defaultRowHeight="15" x14ac:dyDescent="0.25"/>
  <cols>
    <col min="1" max="1" width="10.5703125" bestFit="1" customWidth="1"/>
    <col min="3" max="3" width="9.140625" customWidth="1"/>
    <col min="4" max="4" width="17" customWidth="1"/>
    <col min="5" max="5" width="15.28515625" customWidth="1"/>
  </cols>
  <sheetData>
    <row r="1" spans="1:6" x14ac:dyDescent="0.25">
      <c r="A1" s="4" t="s">
        <v>94</v>
      </c>
      <c r="B1" s="4" t="s">
        <v>102</v>
      </c>
      <c r="C1" s="4" t="s">
        <v>183</v>
      </c>
      <c r="D1" s="4" t="s">
        <v>260</v>
      </c>
      <c r="E1" s="4" t="s">
        <v>262</v>
      </c>
      <c r="F1" s="4" t="s">
        <v>261</v>
      </c>
    </row>
    <row r="2" spans="1:6" x14ac:dyDescent="0.25">
      <c r="A2" t="s">
        <v>96</v>
      </c>
      <c r="B2">
        <f>D2*8*Economics!$B$17*10</f>
        <v>887880</v>
      </c>
      <c r="C2" t="s">
        <v>285</v>
      </c>
      <c r="D2">
        <v>45.3</v>
      </c>
      <c r="E2" t="s">
        <v>263</v>
      </c>
      <c r="F2" t="s">
        <v>264</v>
      </c>
    </row>
    <row r="3" spans="1:6" x14ac:dyDescent="0.25">
      <c r="A3" t="s">
        <v>254</v>
      </c>
      <c r="B3">
        <f>D3*8*Economics!$B$17*10</f>
        <v>866320</v>
      </c>
      <c r="C3" t="s">
        <v>285</v>
      </c>
      <c r="D3">
        <v>44.2</v>
      </c>
      <c r="E3" t="s">
        <v>263</v>
      </c>
      <c r="F3" t="s">
        <v>264</v>
      </c>
    </row>
    <row r="4" spans="1:6" x14ac:dyDescent="0.25">
      <c r="A4" t="s">
        <v>255</v>
      </c>
      <c r="B4">
        <f>D4*8*Economics!$B$17*10</f>
        <v>476280</v>
      </c>
      <c r="C4" t="s">
        <v>285</v>
      </c>
      <c r="D4">
        <v>24.3</v>
      </c>
      <c r="E4" t="s">
        <v>263</v>
      </c>
      <c r="F4" t="s">
        <v>264</v>
      </c>
    </row>
    <row r="5" spans="1:6" x14ac:dyDescent="0.25">
      <c r="A5" t="s">
        <v>256</v>
      </c>
      <c r="B5">
        <f>D5*8*Economics!$B$17*10</f>
        <v>776160</v>
      </c>
      <c r="C5" t="s">
        <v>285</v>
      </c>
      <c r="D5">
        <v>39.6</v>
      </c>
      <c r="E5" t="s">
        <v>263</v>
      </c>
      <c r="F5" t="s">
        <v>264</v>
      </c>
    </row>
    <row r="6" spans="1:6" x14ac:dyDescent="0.25">
      <c r="A6" t="s">
        <v>257</v>
      </c>
      <c r="B6">
        <f>D6*8*Economics!$B$17*10</f>
        <v>815360</v>
      </c>
      <c r="C6" t="s">
        <v>285</v>
      </c>
      <c r="D6">
        <v>41.6</v>
      </c>
      <c r="E6" t="s">
        <v>263</v>
      </c>
      <c r="F6" t="s">
        <v>264</v>
      </c>
    </row>
    <row r="7" spans="1:6" x14ac:dyDescent="0.25">
      <c r="A7" t="s">
        <v>259</v>
      </c>
      <c r="B7">
        <f>D7*8*Economics!$B$17*10</f>
        <v>574280</v>
      </c>
      <c r="C7" t="s">
        <v>285</v>
      </c>
      <c r="D7">
        <v>29.3</v>
      </c>
      <c r="E7" t="s">
        <v>263</v>
      </c>
      <c r="F7" t="s">
        <v>264</v>
      </c>
    </row>
    <row r="8" spans="1:6" x14ac:dyDescent="0.25">
      <c r="A8" t="s">
        <v>258</v>
      </c>
      <c r="B8">
        <f>D8*8*Economics!$B$17*10</f>
        <v>732713.33333333326</v>
      </c>
      <c r="C8" t="s">
        <v>285</v>
      </c>
      <c r="D8" s="12">
        <f>AVERAGE(D2:D7)</f>
        <v>37.383333333333333</v>
      </c>
      <c r="E8" t="s">
        <v>263</v>
      </c>
      <c r="F8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77"/>
  <sheetViews>
    <sheetView workbookViewId="0">
      <selection activeCell="F608" sqref="F608"/>
    </sheetView>
  </sheetViews>
  <sheetFormatPr defaultRowHeight="15" x14ac:dyDescent="0.25"/>
  <cols>
    <col min="1" max="1" width="39.7109375" bestFit="1" customWidth="1"/>
    <col min="2" max="2" width="33" bestFit="1" customWidth="1"/>
    <col min="3" max="3" width="10" bestFit="1" customWidth="1"/>
  </cols>
  <sheetData>
    <row r="1" spans="1:4" x14ac:dyDescent="0.25">
      <c r="A1" s="1" t="s">
        <v>23</v>
      </c>
      <c r="B1" s="1" t="s">
        <v>0</v>
      </c>
      <c r="C1" s="1" t="s">
        <v>1</v>
      </c>
      <c r="D1" s="7" t="s">
        <v>20</v>
      </c>
    </row>
    <row r="2" spans="1:4" hidden="1" x14ac:dyDescent="0.25">
      <c r="A2" t="s">
        <v>55</v>
      </c>
      <c r="B2" t="s">
        <v>2</v>
      </c>
    </row>
    <row r="3" spans="1:4" hidden="1" x14ac:dyDescent="0.25">
      <c r="A3" t="s">
        <v>55</v>
      </c>
      <c r="B3" t="s">
        <v>51</v>
      </c>
    </row>
    <row r="4" spans="1:4" hidden="1" x14ac:dyDescent="0.25">
      <c r="A4" t="s">
        <v>55</v>
      </c>
      <c r="B4" t="s">
        <v>52</v>
      </c>
    </row>
    <row r="5" spans="1:4" hidden="1" x14ac:dyDescent="0.25">
      <c r="A5" t="s">
        <v>55</v>
      </c>
      <c r="B5" t="s">
        <v>53</v>
      </c>
    </row>
    <row r="6" spans="1:4" hidden="1" x14ac:dyDescent="0.25">
      <c r="A6" t="s">
        <v>55</v>
      </c>
      <c r="B6" t="s">
        <v>54</v>
      </c>
    </row>
    <row r="7" spans="1:4" hidden="1" x14ac:dyDescent="0.25">
      <c r="A7" t="s">
        <v>55</v>
      </c>
      <c r="B7" t="s">
        <v>3</v>
      </c>
    </row>
    <row r="8" spans="1:4" hidden="1" x14ac:dyDescent="0.25">
      <c r="A8" t="s">
        <v>55</v>
      </c>
      <c r="B8" t="s">
        <v>4</v>
      </c>
    </row>
    <row r="9" spans="1:4" hidden="1" x14ac:dyDescent="0.25">
      <c r="A9" t="s">
        <v>55</v>
      </c>
      <c r="B9" t="s">
        <v>5</v>
      </c>
      <c r="C9" s="2">
        <f>1/90</f>
        <v>1.1111111111111112E-2</v>
      </c>
    </row>
    <row r="10" spans="1:4" hidden="1" x14ac:dyDescent="0.25">
      <c r="A10" t="s">
        <v>55</v>
      </c>
      <c r="B10" t="s">
        <v>6</v>
      </c>
    </row>
    <row r="11" spans="1:4" hidden="1" x14ac:dyDescent="0.25">
      <c r="A11" t="s">
        <v>55</v>
      </c>
      <c r="B11" t="s">
        <v>7</v>
      </c>
    </row>
    <row r="12" spans="1:4" hidden="1" x14ac:dyDescent="0.25">
      <c r="A12" t="s">
        <v>55</v>
      </c>
      <c r="B12" t="s">
        <v>8</v>
      </c>
    </row>
    <row r="13" spans="1:4" hidden="1" x14ac:dyDescent="0.25">
      <c r="A13" t="s">
        <v>55</v>
      </c>
      <c r="B13" t="s">
        <v>9</v>
      </c>
    </row>
    <row r="14" spans="1:4" hidden="1" x14ac:dyDescent="0.25">
      <c r="A14" t="s">
        <v>55</v>
      </c>
      <c r="B14" t="s">
        <v>10</v>
      </c>
    </row>
    <row r="15" spans="1:4" hidden="1" x14ac:dyDescent="0.25">
      <c r="A15" t="s">
        <v>55</v>
      </c>
      <c r="B15" t="s">
        <v>11</v>
      </c>
    </row>
    <row r="16" spans="1:4" hidden="1" x14ac:dyDescent="0.25">
      <c r="A16" t="s">
        <v>55</v>
      </c>
      <c r="B16" t="s">
        <v>12</v>
      </c>
    </row>
    <row r="17" spans="1:2" hidden="1" x14ac:dyDescent="0.25">
      <c r="A17" t="s">
        <v>55</v>
      </c>
      <c r="B17" t="s">
        <v>13</v>
      </c>
    </row>
    <row r="18" spans="1:2" hidden="1" x14ac:dyDescent="0.25">
      <c r="A18" t="s">
        <v>55</v>
      </c>
      <c r="B18" t="s">
        <v>14</v>
      </c>
    </row>
    <row r="19" spans="1:2" hidden="1" x14ac:dyDescent="0.25">
      <c r="A19" t="s">
        <v>55</v>
      </c>
      <c r="B19" t="s">
        <v>15</v>
      </c>
    </row>
    <row r="20" spans="1:2" hidden="1" x14ac:dyDescent="0.25">
      <c r="A20" t="s">
        <v>55</v>
      </c>
      <c r="B20" t="s">
        <v>16</v>
      </c>
    </row>
    <row r="21" spans="1:2" hidden="1" x14ac:dyDescent="0.25">
      <c r="A21" t="s">
        <v>55</v>
      </c>
      <c r="B21" t="s">
        <v>17</v>
      </c>
    </row>
    <row r="22" spans="1:2" hidden="1" x14ac:dyDescent="0.25">
      <c r="A22" t="s">
        <v>55</v>
      </c>
      <c r="B22" t="s">
        <v>18</v>
      </c>
    </row>
    <row r="23" spans="1:2" hidden="1" x14ac:dyDescent="0.25">
      <c r="A23" t="s">
        <v>55</v>
      </c>
      <c r="B23" t="s">
        <v>19</v>
      </c>
    </row>
    <row r="24" spans="1:2" hidden="1" x14ac:dyDescent="0.25">
      <c r="A24" t="s">
        <v>56</v>
      </c>
      <c r="B24" t="s">
        <v>2</v>
      </c>
    </row>
    <row r="25" spans="1:2" hidden="1" x14ac:dyDescent="0.25">
      <c r="A25" t="s">
        <v>56</v>
      </c>
      <c r="B25" t="s">
        <v>51</v>
      </c>
    </row>
    <row r="26" spans="1:2" hidden="1" x14ac:dyDescent="0.25">
      <c r="A26" t="s">
        <v>56</v>
      </c>
      <c r="B26" t="s">
        <v>52</v>
      </c>
    </row>
    <row r="27" spans="1:2" hidden="1" x14ac:dyDescent="0.25">
      <c r="A27" t="s">
        <v>56</v>
      </c>
      <c r="B27" t="s">
        <v>53</v>
      </c>
    </row>
    <row r="28" spans="1:2" hidden="1" x14ac:dyDescent="0.25">
      <c r="A28" t="s">
        <v>56</v>
      </c>
      <c r="B28" t="s">
        <v>54</v>
      </c>
    </row>
    <row r="29" spans="1:2" hidden="1" x14ac:dyDescent="0.25">
      <c r="A29" t="s">
        <v>56</v>
      </c>
      <c r="B29" t="s">
        <v>3</v>
      </c>
    </row>
    <row r="30" spans="1:2" hidden="1" x14ac:dyDescent="0.25">
      <c r="A30" t="s">
        <v>56</v>
      </c>
      <c r="B30" t="s">
        <v>4</v>
      </c>
    </row>
    <row r="31" spans="1:2" hidden="1" x14ac:dyDescent="0.25">
      <c r="A31" t="s">
        <v>56</v>
      </c>
      <c r="B31" t="s">
        <v>5</v>
      </c>
    </row>
    <row r="32" spans="1:2" hidden="1" x14ac:dyDescent="0.25">
      <c r="A32" t="s">
        <v>56</v>
      </c>
      <c r="B32" t="s">
        <v>6</v>
      </c>
    </row>
    <row r="33" spans="1:2" hidden="1" x14ac:dyDescent="0.25">
      <c r="A33" t="s">
        <v>56</v>
      </c>
      <c r="B33" t="s">
        <v>7</v>
      </c>
    </row>
    <row r="34" spans="1:2" hidden="1" x14ac:dyDescent="0.25">
      <c r="A34" t="s">
        <v>56</v>
      </c>
      <c r="B34" t="s">
        <v>8</v>
      </c>
    </row>
    <row r="35" spans="1:2" hidden="1" x14ac:dyDescent="0.25">
      <c r="A35" t="s">
        <v>56</v>
      </c>
      <c r="B35" t="s">
        <v>9</v>
      </c>
    </row>
    <row r="36" spans="1:2" hidden="1" x14ac:dyDescent="0.25">
      <c r="A36" t="s">
        <v>56</v>
      </c>
      <c r="B36" t="s">
        <v>10</v>
      </c>
    </row>
    <row r="37" spans="1:2" hidden="1" x14ac:dyDescent="0.25">
      <c r="A37" t="s">
        <v>56</v>
      </c>
      <c r="B37" t="s">
        <v>11</v>
      </c>
    </row>
    <row r="38" spans="1:2" hidden="1" x14ac:dyDescent="0.25">
      <c r="A38" t="s">
        <v>56</v>
      </c>
      <c r="B38" t="s">
        <v>12</v>
      </c>
    </row>
    <row r="39" spans="1:2" hidden="1" x14ac:dyDescent="0.25">
      <c r="A39" t="s">
        <v>56</v>
      </c>
      <c r="B39" t="s">
        <v>13</v>
      </c>
    </row>
    <row r="40" spans="1:2" hidden="1" x14ac:dyDescent="0.25">
      <c r="A40" t="s">
        <v>56</v>
      </c>
      <c r="B40" t="s">
        <v>14</v>
      </c>
    </row>
    <row r="41" spans="1:2" hidden="1" x14ac:dyDescent="0.25">
      <c r="A41" t="s">
        <v>56</v>
      </c>
      <c r="B41" t="s">
        <v>15</v>
      </c>
    </row>
    <row r="42" spans="1:2" hidden="1" x14ac:dyDescent="0.25">
      <c r="A42" t="s">
        <v>56</v>
      </c>
      <c r="B42" t="s">
        <v>16</v>
      </c>
    </row>
    <row r="43" spans="1:2" hidden="1" x14ac:dyDescent="0.25">
      <c r="A43" t="s">
        <v>56</v>
      </c>
      <c r="B43" t="s">
        <v>17</v>
      </c>
    </row>
    <row r="44" spans="1:2" hidden="1" x14ac:dyDescent="0.25">
      <c r="A44" t="s">
        <v>56</v>
      </c>
      <c r="B44" t="s">
        <v>18</v>
      </c>
    </row>
    <row r="45" spans="1:2" hidden="1" x14ac:dyDescent="0.25">
      <c r="A45" t="s">
        <v>56</v>
      </c>
      <c r="B45" t="s">
        <v>19</v>
      </c>
    </row>
    <row r="46" spans="1:2" hidden="1" x14ac:dyDescent="0.25">
      <c r="A46" t="s">
        <v>57</v>
      </c>
      <c r="B46" t="s">
        <v>2</v>
      </c>
    </row>
    <row r="47" spans="1:2" hidden="1" x14ac:dyDescent="0.25">
      <c r="A47" t="s">
        <v>57</v>
      </c>
      <c r="B47" t="s">
        <v>51</v>
      </c>
    </row>
    <row r="48" spans="1:2" hidden="1" x14ac:dyDescent="0.25">
      <c r="A48" t="s">
        <v>57</v>
      </c>
      <c r="B48" t="s">
        <v>52</v>
      </c>
    </row>
    <row r="49" spans="1:4" hidden="1" x14ac:dyDescent="0.25">
      <c r="A49" t="s">
        <v>57</v>
      </c>
      <c r="B49" t="s">
        <v>53</v>
      </c>
    </row>
    <row r="50" spans="1:4" hidden="1" x14ac:dyDescent="0.25">
      <c r="A50" t="s">
        <v>57</v>
      </c>
      <c r="B50" t="s">
        <v>54</v>
      </c>
    </row>
    <row r="51" spans="1:4" hidden="1" x14ac:dyDescent="0.25">
      <c r="A51" t="s">
        <v>57</v>
      </c>
      <c r="B51" t="s">
        <v>3</v>
      </c>
    </row>
    <row r="52" spans="1:4" hidden="1" x14ac:dyDescent="0.25">
      <c r="A52" t="s">
        <v>57</v>
      </c>
      <c r="B52" t="s">
        <v>4</v>
      </c>
    </row>
    <row r="53" spans="1:4" hidden="1" x14ac:dyDescent="0.25">
      <c r="A53" t="s">
        <v>57</v>
      </c>
      <c r="B53" t="s">
        <v>5</v>
      </c>
    </row>
    <row r="54" spans="1:4" hidden="1" x14ac:dyDescent="0.25">
      <c r="A54" t="s">
        <v>57</v>
      </c>
      <c r="B54" t="s">
        <v>6</v>
      </c>
    </row>
    <row r="55" spans="1:4" hidden="1" x14ac:dyDescent="0.25">
      <c r="A55" t="s">
        <v>57</v>
      </c>
      <c r="B55" t="s">
        <v>7</v>
      </c>
    </row>
    <row r="56" spans="1:4" hidden="1" x14ac:dyDescent="0.25">
      <c r="A56" t="s">
        <v>57</v>
      </c>
      <c r="B56" t="s">
        <v>8</v>
      </c>
    </row>
    <row r="57" spans="1:4" hidden="1" x14ac:dyDescent="0.25">
      <c r="A57" t="s">
        <v>57</v>
      </c>
      <c r="B57" t="s">
        <v>9</v>
      </c>
    </row>
    <row r="58" spans="1:4" hidden="1" x14ac:dyDescent="0.25">
      <c r="A58" t="s">
        <v>57</v>
      </c>
      <c r="B58" t="s">
        <v>10</v>
      </c>
    </row>
    <row r="59" spans="1:4" hidden="1" x14ac:dyDescent="0.25">
      <c r="A59" t="s">
        <v>57</v>
      </c>
      <c r="B59" t="s">
        <v>11</v>
      </c>
    </row>
    <row r="60" spans="1:4" hidden="1" x14ac:dyDescent="0.25">
      <c r="A60" t="s">
        <v>57</v>
      </c>
      <c r="B60" t="s">
        <v>12</v>
      </c>
    </row>
    <row r="61" spans="1:4" hidden="1" x14ac:dyDescent="0.25">
      <c r="A61" t="s">
        <v>57</v>
      </c>
      <c r="B61" t="s">
        <v>13</v>
      </c>
    </row>
    <row r="62" spans="1:4" hidden="1" x14ac:dyDescent="0.25">
      <c r="A62" t="s">
        <v>57</v>
      </c>
      <c r="B62" t="s">
        <v>14</v>
      </c>
      <c r="C62">
        <v>5.3333333329999997</v>
      </c>
      <c r="D62" t="s">
        <v>22</v>
      </c>
    </row>
    <row r="63" spans="1:4" hidden="1" x14ac:dyDescent="0.25">
      <c r="A63" t="s">
        <v>57</v>
      </c>
      <c r="B63" t="s">
        <v>15</v>
      </c>
      <c r="C63">
        <f>(90)/(184/24)</f>
        <v>11.739130434782608</v>
      </c>
      <c r="D63" t="s">
        <v>22</v>
      </c>
    </row>
    <row r="64" spans="1:4" hidden="1" x14ac:dyDescent="0.25">
      <c r="A64" t="s">
        <v>57</v>
      </c>
      <c r="B64" t="s">
        <v>16</v>
      </c>
    </row>
    <row r="65" spans="1:2" hidden="1" x14ac:dyDescent="0.25">
      <c r="A65" t="s">
        <v>57</v>
      </c>
      <c r="B65" t="s">
        <v>17</v>
      </c>
    </row>
    <row r="66" spans="1:2" hidden="1" x14ac:dyDescent="0.25">
      <c r="A66" t="s">
        <v>57</v>
      </c>
      <c r="B66" t="s">
        <v>18</v>
      </c>
    </row>
    <row r="67" spans="1:2" hidden="1" x14ac:dyDescent="0.25">
      <c r="A67" t="s">
        <v>57</v>
      </c>
      <c r="B67" t="s">
        <v>19</v>
      </c>
    </row>
    <row r="68" spans="1:2" hidden="1" x14ac:dyDescent="0.25">
      <c r="A68" t="s">
        <v>58</v>
      </c>
      <c r="B68" t="s">
        <v>2</v>
      </c>
    </row>
    <row r="69" spans="1:2" hidden="1" x14ac:dyDescent="0.25">
      <c r="A69" t="s">
        <v>58</v>
      </c>
      <c r="B69" t="s">
        <v>51</v>
      </c>
    </row>
    <row r="70" spans="1:2" hidden="1" x14ac:dyDescent="0.25">
      <c r="A70" t="s">
        <v>58</v>
      </c>
      <c r="B70" t="s">
        <v>52</v>
      </c>
    </row>
    <row r="71" spans="1:2" hidden="1" x14ac:dyDescent="0.25">
      <c r="A71" t="s">
        <v>58</v>
      </c>
      <c r="B71" t="s">
        <v>53</v>
      </c>
    </row>
    <row r="72" spans="1:2" hidden="1" x14ac:dyDescent="0.25">
      <c r="A72" t="s">
        <v>58</v>
      </c>
      <c r="B72" t="s">
        <v>54</v>
      </c>
    </row>
    <row r="73" spans="1:2" hidden="1" x14ac:dyDescent="0.25">
      <c r="A73" t="s">
        <v>58</v>
      </c>
      <c r="B73" t="s">
        <v>3</v>
      </c>
    </row>
    <row r="74" spans="1:2" hidden="1" x14ac:dyDescent="0.25">
      <c r="A74" t="s">
        <v>58</v>
      </c>
      <c r="B74" t="s">
        <v>4</v>
      </c>
    </row>
    <row r="75" spans="1:2" hidden="1" x14ac:dyDescent="0.25">
      <c r="A75" t="s">
        <v>58</v>
      </c>
      <c r="B75" t="s">
        <v>5</v>
      </c>
    </row>
    <row r="76" spans="1:2" hidden="1" x14ac:dyDescent="0.25">
      <c r="A76" t="s">
        <v>58</v>
      </c>
      <c r="B76" t="s">
        <v>6</v>
      </c>
    </row>
    <row r="77" spans="1:2" hidden="1" x14ac:dyDescent="0.25">
      <c r="A77" t="s">
        <v>58</v>
      </c>
      <c r="B77" t="s">
        <v>7</v>
      </c>
    </row>
    <row r="78" spans="1:2" hidden="1" x14ac:dyDescent="0.25">
      <c r="A78" t="s">
        <v>58</v>
      </c>
      <c r="B78" t="s">
        <v>8</v>
      </c>
    </row>
    <row r="79" spans="1:2" hidden="1" x14ac:dyDescent="0.25">
      <c r="A79" t="s">
        <v>58</v>
      </c>
      <c r="B79" t="s">
        <v>9</v>
      </c>
    </row>
    <row r="80" spans="1:2" hidden="1" x14ac:dyDescent="0.25">
      <c r="A80" t="s">
        <v>58</v>
      </c>
      <c r="B80" t="s">
        <v>10</v>
      </c>
    </row>
    <row r="81" spans="1:4" hidden="1" x14ac:dyDescent="0.25">
      <c r="A81" t="s">
        <v>58</v>
      </c>
      <c r="B81" t="s">
        <v>11</v>
      </c>
    </row>
    <row r="82" spans="1:4" hidden="1" x14ac:dyDescent="0.25">
      <c r="A82" t="s">
        <v>58</v>
      </c>
      <c r="B82" t="s">
        <v>12</v>
      </c>
    </row>
    <row r="83" spans="1:4" hidden="1" x14ac:dyDescent="0.25">
      <c r="A83" t="s">
        <v>58</v>
      </c>
      <c r="B83" t="s">
        <v>13</v>
      </c>
    </row>
    <row r="84" spans="1:4" hidden="1" x14ac:dyDescent="0.25">
      <c r="A84" t="s">
        <v>58</v>
      </c>
      <c r="B84" t="s">
        <v>14</v>
      </c>
    </row>
    <row r="85" spans="1:4" hidden="1" x14ac:dyDescent="0.25">
      <c r="A85" t="s">
        <v>58</v>
      </c>
      <c r="B85" t="s">
        <v>15</v>
      </c>
    </row>
    <row r="86" spans="1:4" hidden="1" x14ac:dyDescent="0.25">
      <c r="A86" t="s">
        <v>58</v>
      </c>
      <c r="B86" t="s">
        <v>16</v>
      </c>
    </row>
    <row r="87" spans="1:4" hidden="1" x14ac:dyDescent="0.25">
      <c r="A87" t="s">
        <v>58</v>
      </c>
      <c r="B87" t="s">
        <v>17</v>
      </c>
      <c r="C87">
        <v>7.1999999999999998E-3</v>
      </c>
      <c r="D87" t="s">
        <v>22</v>
      </c>
    </row>
    <row r="88" spans="1:4" hidden="1" x14ac:dyDescent="0.25">
      <c r="A88" t="s">
        <v>58</v>
      </c>
      <c r="B88" t="s">
        <v>18</v>
      </c>
    </row>
    <row r="89" spans="1:4" hidden="1" x14ac:dyDescent="0.25">
      <c r="A89" t="s">
        <v>58</v>
      </c>
      <c r="B89" t="s">
        <v>19</v>
      </c>
    </row>
    <row r="90" spans="1:4" hidden="1" x14ac:dyDescent="0.25">
      <c r="A90" t="s">
        <v>59</v>
      </c>
      <c r="B90" t="s">
        <v>2</v>
      </c>
      <c r="C90">
        <v>1.5260869565217381E-2</v>
      </c>
    </row>
    <row r="91" spans="1:4" hidden="1" x14ac:dyDescent="0.25">
      <c r="A91" t="s">
        <v>59</v>
      </c>
      <c r="B91" t="s">
        <v>51</v>
      </c>
      <c r="C91">
        <v>4.0887999999999994E-2</v>
      </c>
    </row>
    <row r="92" spans="1:4" hidden="1" x14ac:dyDescent="0.25">
      <c r="A92" t="s">
        <v>59</v>
      </c>
      <c r="B92" t="s">
        <v>52</v>
      </c>
    </row>
    <row r="93" spans="1:4" hidden="1" x14ac:dyDescent="0.25">
      <c r="A93" t="s">
        <v>59</v>
      </c>
      <c r="B93" t="s">
        <v>53</v>
      </c>
      <c r="C93">
        <v>5.442028260869565E-2</v>
      </c>
    </row>
    <row r="94" spans="1:4" hidden="1" x14ac:dyDescent="0.25">
      <c r="A94" t="s">
        <v>59</v>
      </c>
      <c r="B94" t="s">
        <v>54</v>
      </c>
      <c r="C94">
        <v>6.7242391304347823E-2</v>
      </c>
    </row>
    <row r="95" spans="1:4" hidden="1" x14ac:dyDescent="0.25">
      <c r="A95" t="s">
        <v>59</v>
      </c>
      <c r="B95" t="s">
        <v>3</v>
      </c>
    </row>
    <row r="96" spans="1:4" hidden="1" x14ac:dyDescent="0.25">
      <c r="A96" t="s">
        <v>59</v>
      </c>
      <c r="B96" t="s">
        <v>4</v>
      </c>
    </row>
    <row r="97" spans="1:4" hidden="1" x14ac:dyDescent="0.25">
      <c r="A97" t="s">
        <v>59</v>
      </c>
      <c r="B97" t="s">
        <v>5</v>
      </c>
      <c r="C97" s="2">
        <f>237.42/1000</f>
        <v>0.23741999999999999</v>
      </c>
    </row>
    <row r="98" spans="1:4" hidden="1" x14ac:dyDescent="0.25">
      <c r="A98" t="s">
        <v>59</v>
      </c>
      <c r="B98" t="s">
        <v>6</v>
      </c>
    </row>
    <row r="99" spans="1:4" hidden="1" x14ac:dyDescent="0.25">
      <c r="A99" t="s">
        <v>59</v>
      </c>
      <c r="B99" t="s">
        <v>7</v>
      </c>
    </row>
    <row r="100" spans="1:4" hidden="1" x14ac:dyDescent="0.25">
      <c r="A100" t="s">
        <v>59</v>
      </c>
      <c r="B100" t="s">
        <v>8</v>
      </c>
    </row>
    <row r="101" spans="1:4" hidden="1" x14ac:dyDescent="0.25">
      <c r="A101" t="s">
        <v>59</v>
      </c>
      <c r="B101" t="s">
        <v>9</v>
      </c>
    </row>
    <row r="102" spans="1:4" hidden="1" x14ac:dyDescent="0.25">
      <c r="A102" t="s">
        <v>59</v>
      </c>
      <c r="B102" t="s">
        <v>10</v>
      </c>
    </row>
    <row r="103" spans="1:4" hidden="1" x14ac:dyDescent="0.25">
      <c r="A103" t="s">
        <v>59</v>
      </c>
      <c r="B103" t="s">
        <v>11</v>
      </c>
    </row>
    <row r="104" spans="1:4" hidden="1" x14ac:dyDescent="0.25">
      <c r="A104" t="s">
        <v>59</v>
      </c>
      <c r="B104" t="s">
        <v>12</v>
      </c>
    </row>
    <row r="105" spans="1:4" hidden="1" x14ac:dyDescent="0.25">
      <c r="A105" t="s">
        <v>59</v>
      </c>
      <c r="B105" t="s">
        <v>13</v>
      </c>
      <c r="C105">
        <f>572/(572+2886)*0.607</f>
        <v>0.10040601503759397</v>
      </c>
      <c r="D105" t="s">
        <v>22</v>
      </c>
    </row>
    <row r="106" spans="1:4" hidden="1" x14ac:dyDescent="0.25">
      <c r="A106" t="s">
        <v>59</v>
      </c>
      <c r="B106" t="s">
        <v>14</v>
      </c>
    </row>
    <row r="107" spans="1:4" hidden="1" x14ac:dyDescent="0.25">
      <c r="A107" t="s">
        <v>59</v>
      </c>
      <c r="B107" t="s">
        <v>15</v>
      </c>
      <c r="C107">
        <f>(7)/(184/24)</f>
        <v>0.91304347826086951</v>
      </c>
      <c r="D107" t="s">
        <v>22</v>
      </c>
    </row>
    <row r="108" spans="1:4" hidden="1" x14ac:dyDescent="0.25">
      <c r="A108" t="s">
        <v>59</v>
      </c>
      <c r="B108" t="s">
        <v>16</v>
      </c>
    </row>
    <row r="109" spans="1:4" hidden="1" x14ac:dyDescent="0.25">
      <c r="A109" t="s">
        <v>59</v>
      </c>
      <c r="B109" t="s">
        <v>17</v>
      </c>
    </row>
    <row r="110" spans="1:4" hidden="1" x14ac:dyDescent="0.25">
      <c r="A110" t="s">
        <v>59</v>
      </c>
      <c r="B110" t="s">
        <v>18</v>
      </c>
    </row>
    <row r="111" spans="1:4" hidden="1" x14ac:dyDescent="0.25">
      <c r="A111" t="s">
        <v>59</v>
      </c>
      <c r="B111" t="s">
        <v>19</v>
      </c>
    </row>
    <row r="112" spans="1:4" hidden="1" x14ac:dyDescent="0.25">
      <c r="A112" t="s">
        <v>60</v>
      </c>
      <c r="B112" t="s">
        <v>2</v>
      </c>
    </row>
    <row r="113" spans="1:2" hidden="1" x14ac:dyDescent="0.25">
      <c r="A113" t="s">
        <v>60</v>
      </c>
      <c r="B113" t="s">
        <v>51</v>
      </c>
    </row>
    <row r="114" spans="1:2" hidden="1" x14ac:dyDescent="0.25">
      <c r="A114" t="s">
        <v>60</v>
      </c>
      <c r="B114" t="s">
        <v>52</v>
      </c>
    </row>
    <row r="115" spans="1:2" hidden="1" x14ac:dyDescent="0.25">
      <c r="A115" t="s">
        <v>60</v>
      </c>
      <c r="B115" t="s">
        <v>53</v>
      </c>
    </row>
    <row r="116" spans="1:2" hidden="1" x14ac:dyDescent="0.25">
      <c r="A116" t="s">
        <v>60</v>
      </c>
      <c r="B116" t="s">
        <v>54</v>
      </c>
    </row>
    <row r="117" spans="1:2" hidden="1" x14ac:dyDescent="0.25">
      <c r="A117" t="s">
        <v>60</v>
      </c>
      <c r="B117" t="s">
        <v>3</v>
      </c>
    </row>
    <row r="118" spans="1:2" hidden="1" x14ac:dyDescent="0.25">
      <c r="A118" t="s">
        <v>60</v>
      </c>
      <c r="B118" t="s">
        <v>4</v>
      </c>
    </row>
    <row r="119" spans="1:2" hidden="1" x14ac:dyDescent="0.25">
      <c r="A119" t="s">
        <v>60</v>
      </c>
      <c r="B119" t="s">
        <v>5</v>
      </c>
    </row>
    <row r="120" spans="1:2" hidden="1" x14ac:dyDescent="0.25">
      <c r="A120" t="s">
        <v>60</v>
      </c>
      <c r="B120" t="s">
        <v>6</v>
      </c>
    </row>
    <row r="121" spans="1:2" hidden="1" x14ac:dyDescent="0.25">
      <c r="A121" t="s">
        <v>60</v>
      </c>
      <c r="B121" t="s">
        <v>7</v>
      </c>
    </row>
    <row r="122" spans="1:2" hidden="1" x14ac:dyDescent="0.25">
      <c r="A122" t="s">
        <v>60</v>
      </c>
      <c r="B122" t="s">
        <v>8</v>
      </c>
    </row>
    <row r="123" spans="1:2" hidden="1" x14ac:dyDescent="0.25">
      <c r="A123" t="s">
        <v>60</v>
      </c>
      <c r="B123" t="s">
        <v>9</v>
      </c>
    </row>
    <row r="124" spans="1:2" hidden="1" x14ac:dyDescent="0.25">
      <c r="A124" t="s">
        <v>60</v>
      </c>
      <c r="B124" t="s">
        <v>10</v>
      </c>
    </row>
    <row r="125" spans="1:2" hidden="1" x14ac:dyDescent="0.25">
      <c r="A125" t="s">
        <v>60</v>
      </c>
      <c r="B125" t="s">
        <v>11</v>
      </c>
    </row>
    <row r="126" spans="1:2" hidden="1" x14ac:dyDescent="0.25">
      <c r="A126" t="s">
        <v>60</v>
      </c>
      <c r="B126" t="s">
        <v>12</v>
      </c>
    </row>
    <row r="127" spans="1:2" hidden="1" x14ac:dyDescent="0.25">
      <c r="A127" t="s">
        <v>60</v>
      </c>
      <c r="B127" t="s">
        <v>13</v>
      </c>
    </row>
    <row r="128" spans="1:2" hidden="1" x14ac:dyDescent="0.25">
      <c r="A128" t="s">
        <v>60</v>
      </c>
      <c r="B128" t="s">
        <v>14</v>
      </c>
    </row>
    <row r="129" spans="1:4" hidden="1" x14ac:dyDescent="0.25">
      <c r="A129" t="s">
        <v>60</v>
      </c>
      <c r="B129" t="s">
        <v>15</v>
      </c>
    </row>
    <row r="130" spans="1:4" hidden="1" x14ac:dyDescent="0.25">
      <c r="A130" t="s">
        <v>60</v>
      </c>
      <c r="B130" t="s">
        <v>16</v>
      </c>
    </row>
    <row r="131" spans="1:4" hidden="1" x14ac:dyDescent="0.25">
      <c r="A131" t="s">
        <v>60</v>
      </c>
      <c r="B131" t="s">
        <v>17</v>
      </c>
    </row>
    <row r="132" spans="1:4" hidden="1" x14ac:dyDescent="0.25">
      <c r="A132" t="s">
        <v>60</v>
      </c>
      <c r="B132" t="s">
        <v>18</v>
      </c>
      <c r="C132">
        <v>1.1000000000000001E-3</v>
      </c>
      <c r="D132" t="s">
        <v>22</v>
      </c>
    </row>
    <row r="133" spans="1:4" hidden="1" x14ac:dyDescent="0.25">
      <c r="A133" t="s">
        <v>60</v>
      </c>
      <c r="B133" t="s">
        <v>19</v>
      </c>
    </row>
    <row r="134" spans="1:4" hidden="1" x14ac:dyDescent="0.25">
      <c r="A134" t="s">
        <v>61</v>
      </c>
      <c r="B134" t="s">
        <v>2</v>
      </c>
    </row>
    <row r="135" spans="1:4" hidden="1" x14ac:dyDescent="0.25">
      <c r="A135" t="s">
        <v>61</v>
      </c>
      <c r="B135" t="s">
        <v>51</v>
      </c>
    </row>
    <row r="136" spans="1:4" hidden="1" x14ac:dyDescent="0.25">
      <c r="A136" t="s">
        <v>61</v>
      </c>
      <c r="B136" t="s">
        <v>52</v>
      </c>
    </row>
    <row r="137" spans="1:4" hidden="1" x14ac:dyDescent="0.25">
      <c r="A137" t="s">
        <v>61</v>
      </c>
      <c r="B137" t="s">
        <v>53</v>
      </c>
    </row>
    <row r="138" spans="1:4" hidden="1" x14ac:dyDescent="0.25">
      <c r="A138" t="s">
        <v>61</v>
      </c>
      <c r="B138" t="s">
        <v>54</v>
      </c>
    </row>
    <row r="139" spans="1:4" hidden="1" x14ac:dyDescent="0.25">
      <c r="A139" t="s">
        <v>61</v>
      </c>
      <c r="B139" t="s">
        <v>3</v>
      </c>
    </row>
    <row r="140" spans="1:4" hidden="1" x14ac:dyDescent="0.25">
      <c r="A140" t="s">
        <v>61</v>
      </c>
      <c r="B140" t="s">
        <v>4</v>
      </c>
    </row>
    <row r="141" spans="1:4" hidden="1" x14ac:dyDescent="0.25">
      <c r="A141" t="s">
        <v>61</v>
      </c>
      <c r="B141" t="s">
        <v>5</v>
      </c>
    </row>
    <row r="142" spans="1:4" hidden="1" x14ac:dyDescent="0.25">
      <c r="A142" t="s">
        <v>61</v>
      </c>
      <c r="B142" t="s">
        <v>6</v>
      </c>
    </row>
    <row r="143" spans="1:4" hidden="1" x14ac:dyDescent="0.25">
      <c r="A143" t="s">
        <v>61</v>
      </c>
      <c r="B143" t="s">
        <v>7</v>
      </c>
    </row>
    <row r="144" spans="1:4" hidden="1" x14ac:dyDescent="0.25">
      <c r="A144" t="s">
        <v>61</v>
      </c>
      <c r="B144" t="s">
        <v>8</v>
      </c>
    </row>
    <row r="145" spans="1:4" hidden="1" x14ac:dyDescent="0.25">
      <c r="A145" t="s">
        <v>61</v>
      </c>
      <c r="B145" t="s">
        <v>9</v>
      </c>
    </row>
    <row r="146" spans="1:4" hidden="1" x14ac:dyDescent="0.25">
      <c r="A146" t="s">
        <v>61</v>
      </c>
      <c r="B146" t="s">
        <v>10</v>
      </c>
    </row>
    <row r="147" spans="1:4" hidden="1" x14ac:dyDescent="0.25">
      <c r="A147" t="s">
        <v>61</v>
      </c>
      <c r="B147" t="s">
        <v>11</v>
      </c>
    </row>
    <row r="148" spans="1:4" hidden="1" x14ac:dyDescent="0.25">
      <c r="A148" t="s">
        <v>61</v>
      </c>
      <c r="B148" t="s">
        <v>12</v>
      </c>
    </row>
    <row r="149" spans="1:4" hidden="1" x14ac:dyDescent="0.25">
      <c r="A149" t="s">
        <v>61</v>
      </c>
      <c r="B149" t="s">
        <v>13</v>
      </c>
    </row>
    <row r="150" spans="1:4" hidden="1" x14ac:dyDescent="0.25">
      <c r="A150" t="s">
        <v>61</v>
      </c>
      <c r="B150" t="s">
        <v>14</v>
      </c>
      <c r="C150">
        <v>1.3388888888888799</v>
      </c>
      <c r="D150" t="s">
        <v>22</v>
      </c>
    </row>
    <row r="151" spans="1:4" hidden="1" x14ac:dyDescent="0.25">
      <c r="A151" t="s">
        <v>61</v>
      </c>
      <c r="B151" t="s">
        <v>15</v>
      </c>
    </row>
    <row r="152" spans="1:4" hidden="1" x14ac:dyDescent="0.25">
      <c r="A152" t="s">
        <v>61</v>
      </c>
      <c r="B152" t="s">
        <v>16</v>
      </c>
    </row>
    <row r="153" spans="1:4" hidden="1" x14ac:dyDescent="0.25">
      <c r="A153" t="s">
        <v>61</v>
      </c>
      <c r="B153" t="s">
        <v>17</v>
      </c>
    </row>
    <row r="154" spans="1:4" hidden="1" x14ac:dyDescent="0.25">
      <c r="A154" t="s">
        <v>61</v>
      </c>
      <c r="B154" t="s">
        <v>18</v>
      </c>
    </row>
    <row r="155" spans="1:4" hidden="1" x14ac:dyDescent="0.25">
      <c r="A155" t="s">
        <v>61</v>
      </c>
      <c r="B155" t="s">
        <v>19</v>
      </c>
    </row>
    <row r="156" spans="1:4" hidden="1" x14ac:dyDescent="0.25">
      <c r="A156" t="s">
        <v>62</v>
      </c>
      <c r="B156" t="s">
        <v>2</v>
      </c>
    </row>
    <row r="157" spans="1:4" hidden="1" x14ac:dyDescent="0.25">
      <c r="A157" t="s">
        <v>62</v>
      </c>
      <c r="B157" t="s">
        <v>51</v>
      </c>
    </row>
    <row r="158" spans="1:4" hidden="1" x14ac:dyDescent="0.25">
      <c r="A158" t="s">
        <v>62</v>
      </c>
      <c r="B158" t="s">
        <v>52</v>
      </c>
    </row>
    <row r="159" spans="1:4" hidden="1" x14ac:dyDescent="0.25">
      <c r="A159" t="s">
        <v>62</v>
      </c>
      <c r="B159" t="s">
        <v>53</v>
      </c>
    </row>
    <row r="160" spans="1:4" hidden="1" x14ac:dyDescent="0.25">
      <c r="A160" t="s">
        <v>62</v>
      </c>
      <c r="B160" t="s">
        <v>54</v>
      </c>
    </row>
    <row r="161" spans="1:4" hidden="1" x14ac:dyDescent="0.25">
      <c r="A161" t="s">
        <v>62</v>
      </c>
      <c r="B161" t="s">
        <v>3</v>
      </c>
      <c r="C161">
        <v>2.2100000000000002E-2</v>
      </c>
    </row>
    <row r="162" spans="1:4" hidden="1" x14ac:dyDescent="0.25">
      <c r="A162" t="s">
        <v>62</v>
      </c>
      <c r="B162" t="s">
        <v>4</v>
      </c>
    </row>
    <row r="163" spans="1:4" hidden="1" x14ac:dyDescent="0.25">
      <c r="A163" t="s">
        <v>62</v>
      </c>
      <c r="B163" t="s">
        <v>5</v>
      </c>
    </row>
    <row r="164" spans="1:4" hidden="1" x14ac:dyDescent="0.25">
      <c r="A164" t="s">
        <v>62</v>
      </c>
      <c r="B164" t="s">
        <v>6</v>
      </c>
    </row>
    <row r="165" spans="1:4" hidden="1" x14ac:dyDescent="0.25">
      <c r="A165" t="s">
        <v>62</v>
      </c>
      <c r="B165" t="s">
        <v>7</v>
      </c>
    </row>
    <row r="166" spans="1:4" hidden="1" x14ac:dyDescent="0.25">
      <c r="A166" t="s">
        <v>62</v>
      </c>
      <c r="B166" t="s">
        <v>8</v>
      </c>
    </row>
    <row r="167" spans="1:4" hidden="1" x14ac:dyDescent="0.25">
      <c r="A167" t="s">
        <v>62</v>
      </c>
      <c r="B167" t="s">
        <v>9</v>
      </c>
    </row>
    <row r="168" spans="1:4" hidden="1" x14ac:dyDescent="0.25">
      <c r="A168" t="s">
        <v>62</v>
      </c>
      <c r="B168" t="s">
        <v>10</v>
      </c>
    </row>
    <row r="169" spans="1:4" hidden="1" x14ac:dyDescent="0.25">
      <c r="A169" t="s">
        <v>62</v>
      </c>
      <c r="B169" t="s">
        <v>11</v>
      </c>
    </row>
    <row r="170" spans="1:4" hidden="1" x14ac:dyDescent="0.25">
      <c r="A170" t="s">
        <v>62</v>
      </c>
      <c r="B170" t="s">
        <v>12</v>
      </c>
    </row>
    <row r="171" spans="1:4" hidden="1" x14ac:dyDescent="0.25">
      <c r="A171" t="s">
        <v>62</v>
      </c>
      <c r="B171" t="s">
        <v>13</v>
      </c>
    </row>
    <row r="172" spans="1:4" hidden="1" x14ac:dyDescent="0.25">
      <c r="A172" t="s">
        <v>62</v>
      </c>
      <c r="B172" t="s">
        <v>14</v>
      </c>
      <c r="C172">
        <v>0.96111111111000003</v>
      </c>
      <c r="D172" t="s">
        <v>22</v>
      </c>
    </row>
    <row r="173" spans="1:4" hidden="1" x14ac:dyDescent="0.25">
      <c r="A173" t="s">
        <v>62</v>
      </c>
      <c r="B173" t="s">
        <v>15</v>
      </c>
    </row>
    <row r="174" spans="1:4" hidden="1" x14ac:dyDescent="0.25">
      <c r="A174" t="s">
        <v>62</v>
      </c>
      <c r="B174" t="s">
        <v>16</v>
      </c>
    </row>
    <row r="175" spans="1:4" hidden="1" x14ac:dyDescent="0.25">
      <c r="A175" t="s">
        <v>62</v>
      </c>
      <c r="B175" t="s">
        <v>17</v>
      </c>
    </row>
    <row r="176" spans="1:4" hidden="1" x14ac:dyDescent="0.25">
      <c r="A176" t="s">
        <v>62</v>
      </c>
      <c r="B176" t="s">
        <v>18</v>
      </c>
    </row>
    <row r="177" spans="1:2" hidden="1" x14ac:dyDescent="0.25">
      <c r="A177" t="s">
        <v>62</v>
      </c>
      <c r="B177" t="s">
        <v>19</v>
      </c>
    </row>
    <row r="178" spans="1:2" hidden="1" x14ac:dyDescent="0.25">
      <c r="A178" t="s">
        <v>63</v>
      </c>
      <c r="B178" t="s">
        <v>2</v>
      </c>
    </row>
    <row r="179" spans="1:2" hidden="1" x14ac:dyDescent="0.25">
      <c r="A179" t="s">
        <v>63</v>
      </c>
      <c r="B179" t="s">
        <v>51</v>
      </c>
    </row>
    <row r="180" spans="1:2" hidden="1" x14ac:dyDescent="0.25">
      <c r="A180" t="s">
        <v>63</v>
      </c>
      <c r="B180" t="s">
        <v>52</v>
      </c>
    </row>
    <row r="181" spans="1:2" hidden="1" x14ac:dyDescent="0.25">
      <c r="A181" t="s">
        <v>63</v>
      </c>
      <c r="B181" t="s">
        <v>53</v>
      </c>
    </row>
    <row r="182" spans="1:2" hidden="1" x14ac:dyDescent="0.25">
      <c r="A182" t="s">
        <v>63</v>
      </c>
      <c r="B182" t="s">
        <v>54</v>
      </c>
    </row>
    <row r="183" spans="1:2" hidden="1" x14ac:dyDescent="0.25">
      <c r="A183" t="s">
        <v>63</v>
      </c>
      <c r="B183" t="s">
        <v>3</v>
      </c>
    </row>
    <row r="184" spans="1:2" hidden="1" x14ac:dyDescent="0.25">
      <c r="A184" t="s">
        <v>63</v>
      </c>
      <c r="B184" t="s">
        <v>4</v>
      </c>
    </row>
    <row r="185" spans="1:2" hidden="1" x14ac:dyDescent="0.25">
      <c r="A185" t="s">
        <v>63</v>
      </c>
      <c r="B185" t="s">
        <v>5</v>
      </c>
    </row>
    <row r="186" spans="1:2" hidden="1" x14ac:dyDescent="0.25">
      <c r="A186" t="s">
        <v>63</v>
      </c>
      <c r="B186" t="s">
        <v>6</v>
      </c>
    </row>
    <row r="187" spans="1:2" hidden="1" x14ac:dyDescent="0.25">
      <c r="A187" t="s">
        <v>63</v>
      </c>
      <c r="B187" t="s">
        <v>7</v>
      </c>
    </row>
    <row r="188" spans="1:2" hidden="1" x14ac:dyDescent="0.25">
      <c r="A188" t="s">
        <v>63</v>
      </c>
      <c r="B188" t="s">
        <v>8</v>
      </c>
    </row>
    <row r="189" spans="1:2" hidden="1" x14ac:dyDescent="0.25">
      <c r="A189" t="s">
        <v>63</v>
      </c>
      <c r="B189" t="s">
        <v>9</v>
      </c>
    </row>
    <row r="190" spans="1:2" hidden="1" x14ac:dyDescent="0.25">
      <c r="A190" t="s">
        <v>63</v>
      </c>
      <c r="B190" t="s">
        <v>10</v>
      </c>
    </row>
    <row r="191" spans="1:2" hidden="1" x14ac:dyDescent="0.25">
      <c r="A191" t="s">
        <v>63</v>
      </c>
      <c r="B191" t="s">
        <v>11</v>
      </c>
    </row>
    <row r="192" spans="1:2" hidden="1" x14ac:dyDescent="0.25">
      <c r="A192" t="s">
        <v>63</v>
      </c>
      <c r="B192" t="s">
        <v>12</v>
      </c>
    </row>
    <row r="193" spans="1:4" hidden="1" x14ac:dyDescent="0.25">
      <c r="A193" t="s">
        <v>63</v>
      </c>
      <c r="B193" t="s">
        <v>13</v>
      </c>
      <c r="C193">
        <v>0.25</v>
      </c>
      <c r="D193" t="s">
        <v>22</v>
      </c>
    </row>
    <row r="194" spans="1:4" hidden="1" x14ac:dyDescent="0.25">
      <c r="A194" t="s">
        <v>63</v>
      </c>
      <c r="B194" t="s">
        <v>14</v>
      </c>
    </row>
    <row r="195" spans="1:4" hidden="1" x14ac:dyDescent="0.25">
      <c r="A195" t="s">
        <v>63</v>
      </c>
      <c r="B195" t="s">
        <v>15</v>
      </c>
      <c r="C195">
        <f>0.15/154</f>
        <v>9.7402597402597403E-4</v>
      </c>
      <c r="D195" t="s">
        <v>22</v>
      </c>
    </row>
    <row r="196" spans="1:4" hidden="1" x14ac:dyDescent="0.25">
      <c r="A196" t="s">
        <v>63</v>
      </c>
      <c r="B196" t="s">
        <v>16</v>
      </c>
      <c r="C196">
        <f>0.17/154</f>
        <v>1.103896103896104E-3</v>
      </c>
      <c r="D196" t="s">
        <v>22</v>
      </c>
    </row>
    <row r="197" spans="1:4" hidden="1" x14ac:dyDescent="0.25">
      <c r="A197" t="s">
        <v>63</v>
      </c>
      <c r="B197" t="s">
        <v>17</v>
      </c>
    </row>
    <row r="198" spans="1:4" hidden="1" x14ac:dyDescent="0.25">
      <c r="A198" t="s">
        <v>63</v>
      </c>
      <c r="B198" t="s">
        <v>18</v>
      </c>
    </row>
    <row r="199" spans="1:4" hidden="1" x14ac:dyDescent="0.25">
      <c r="A199" t="s">
        <v>63</v>
      </c>
      <c r="B199" t="s">
        <v>19</v>
      </c>
    </row>
    <row r="200" spans="1:4" hidden="1" x14ac:dyDescent="0.25">
      <c r="A200" t="s">
        <v>64</v>
      </c>
      <c r="B200" t="s">
        <v>2</v>
      </c>
    </row>
    <row r="201" spans="1:4" hidden="1" x14ac:dyDescent="0.25">
      <c r="A201" t="s">
        <v>64</v>
      </c>
      <c r="B201" t="s">
        <v>51</v>
      </c>
    </row>
    <row r="202" spans="1:4" hidden="1" x14ac:dyDescent="0.25">
      <c r="A202" t="s">
        <v>64</v>
      </c>
      <c r="B202" t="s">
        <v>52</v>
      </c>
    </row>
    <row r="203" spans="1:4" hidden="1" x14ac:dyDescent="0.25">
      <c r="A203" t="s">
        <v>64</v>
      </c>
      <c r="B203" t="s">
        <v>53</v>
      </c>
    </row>
    <row r="204" spans="1:4" hidden="1" x14ac:dyDescent="0.25">
      <c r="A204" t="s">
        <v>64</v>
      </c>
      <c r="B204" t="s">
        <v>54</v>
      </c>
    </row>
    <row r="205" spans="1:4" hidden="1" x14ac:dyDescent="0.25">
      <c r="A205" t="s">
        <v>64</v>
      </c>
      <c r="B205" t="s">
        <v>3</v>
      </c>
      <c r="C205" s="2">
        <f xml:space="preserve"> 6.14*293.07107/1000</f>
        <v>1.7994563697999999</v>
      </c>
    </row>
    <row r="206" spans="1:4" hidden="1" x14ac:dyDescent="0.25">
      <c r="A206" t="s">
        <v>64</v>
      </c>
      <c r="B206" t="s">
        <v>4</v>
      </c>
      <c r="C206" s="2">
        <f xml:space="preserve"> 7.12*293.07107/1000</f>
        <v>2.0866660184000003</v>
      </c>
    </row>
    <row r="207" spans="1:4" hidden="1" x14ac:dyDescent="0.25">
      <c r="A207" t="s">
        <v>64</v>
      </c>
      <c r="B207" t="s">
        <v>5</v>
      </c>
      <c r="C207" s="2">
        <f xml:space="preserve"> 1.2*293.07107/1000</f>
        <v>0.35168528400000004</v>
      </c>
    </row>
    <row r="208" spans="1:4" hidden="1" x14ac:dyDescent="0.25">
      <c r="A208" t="s">
        <v>64</v>
      </c>
      <c r="B208" t="s">
        <v>6</v>
      </c>
      <c r="C208" s="2">
        <f xml:space="preserve"> 2.66*293.07107/1000</f>
        <v>0.77956904620000012</v>
      </c>
    </row>
    <row r="209" spans="1:3" hidden="1" x14ac:dyDescent="0.25">
      <c r="A209" t="s">
        <v>64</v>
      </c>
      <c r="B209" t="s">
        <v>7</v>
      </c>
      <c r="C209" s="2">
        <f xml:space="preserve"> 3.95*293.07107/1000</f>
        <v>1.1576307265000001</v>
      </c>
    </row>
    <row r="210" spans="1:3" hidden="1" x14ac:dyDescent="0.25">
      <c r="A210" t="s">
        <v>64</v>
      </c>
      <c r="B210" t="s">
        <v>8</v>
      </c>
    </row>
    <row r="211" spans="1:3" hidden="1" x14ac:dyDescent="0.25">
      <c r="A211" t="s">
        <v>64</v>
      </c>
      <c r="B211" t="s">
        <v>9</v>
      </c>
    </row>
    <row r="212" spans="1:3" hidden="1" x14ac:dyDescent="0.25">
      <c r="A212" t="s">
        <v>64</v>
      </c>
      <c r="B212" t="s">
        <v>10</v>
      </c>
    </row>
    <row r="213" spans="1:3" hidden="1" x14ac:dyDescent="0.25">
      <c r="A213" t="s">
        <v>64</v>
      </c>
      <c r="B213" t="s">
        <v>11</v>
      </c>
    </row>
    <row r="214" spans="1:3" hidden="1" x14ac:dyDescent="0.25">
      <c r="A214" t="s">
        <v>64</v>
      </c>
      <c r="B214" t="s">
        <v>12</v>
      </c>
    </row>
    <row r="215" spans="1:3" hidden="1" x14ac:dyDescent="0.25">
      <c r="A215" t="s">
        <v>64</v>
      </c>
      <c r="B215" t="s">
        <v>13</v>
      </c>
    </row>
    <row r="216" spans="1:3" hidden="1" x14ac:dyDescent="0.25">
      <c r="A216" t="s">
        <v>64</v>
      </c>
      <c r="B216" t="s">
        <v>14</v>
      </c>
    </row>
    <row r="217" spans="1:3" hidden="1" x14ac:dyDescent="0.25">
      <c r="A217" t="s">
        <v>64</v>
      </c>
      <c r="B217" t="s">
        <v>15</v>
      </c>
    </row>
    <row r="218" spans="1:3" hidden="1" x14ac:dyDescent="0.25">
      <c r="A218" t="s">
        <v>64</v>
      </c>
      <c r="B218" t="s">
        <v>16</v>
      </c>
    </row>
    <row r="219" spans="1:3" hidden="1" x14ac:dyDescent="0.25">
      <c r="A219" t="s">
        <v>64</v>
      </c>
      <c r="B219" t="s">
        <v>17</v>
      </c>
    </row>
    <row r="220" spans="1:3" hidden="1" x14ac:dyDescent="0.25">
      <c r="A220" t="s">
        <v>64</v>
      </c>
      <c r="B220" t="s">
        <v>18</v>
      </c>
    </row>
    <row r="221" spans="1:3" hidden="1" x14ac:dyDescent="0.25">
      <c r="A221" t="s">
        <v>64</v>
      </c>
      <c r="B221" t="s">
        <v>19</v>
      </c>
    </row>
    <row r="222" spans="1:3" hidden="1" x14ac:dyDescent="0.25">
      <c r="A222" t="s">
        <v>65</v>
      </c>
      <c r="B222" t="s">
        <v>2</v>
      </c>
    </row>
    <row r="223" spans="1:3" hidden="1" x14ac:dyDescent="0.25">
      <c r="A223" t="s">
        <v>65</v>
      </c>
      <c r="B223" t="s">
        <v>51</v>
      </c>
    </row>
    <row r="224" spans="1:3" hidden="1" x14ac:dyDescent="0.25">
      <c r="A224" t="s">
        <v>65</v>
      </c>
      <c r="B224" t="s">
        <v>52</v>
      </c>
    </row>
    <row r="225" spans="1:2" hidden="1" x14ac:dyDescent="0.25">
      <c r="A225" t="s">
        <v>65</v>
      </c>
      <c r="B225" t="s">
        <v>53</v>
      </c>
    </row>
    <row r="226" spans="1:2" hidden="1" x14ac:dyDescent="0.25">
      <c r="A226" t="s">
        <v>65</v>
      </c>
      <c r="B226" t="s">
        <v>54</v>
      </c>
    </row>
    <row r="227" spans="1:2" hidden="1" x14ac:dyDescent="0.25">
      <c r="A227" t="s">
        <v>65</v>
      </c>
      <c r="B227" t="s">
        <v>3</v>
      </c>
    </row>
    <row r="228" spans="1:2" hidden="1" x14ac:dyDescent="0.25">
      <c r="A228" t="s">
        <v>65</v>
      </c>
      <c r="B228" t="s">
        <v>4</v>
      </c>
    </row>
    <row r="229" spans="1:2" hidden="1" x14ac:dyDescent="0.25">
      <c r="A229" t="s">
        <v>65</v>
      </c>
      <c r="B229" t="s">
        <v>5</v>
      </c>
    </row>
    <row r="230" spans="1:2" hidden="1" x14ac:dyDescent="0.25">
      <c r="A230" t="s">
        <v>65</v>
      </c>
      <c r="B230" t="s">
        <v>6</v>
      </c>
    </row>
    <row r="231" spans="1:2" hidden="1" x14ac:dyDescent="0.25">
      <c r="A231" t="s">
        <v>65</v>
      </c>
      <c r="B231" t="s">
        <v>7</v>
      </c>
    </row>
    <row r="232" spans="1:2" hidden="1" x14ac:dyDescent="0.25">
      <c r="A232" t="s">
        <v>65</v>
      </c>
      <c r="B232" t="s">
        <v>8</v>
      </c>
    </row>
    <row r="233" spans="1:2" hidden="1" x14ac:dyDescent="0.25">
      <c r="A233" t="s">
        <v>65</v>
      </c>
      <c r="B233" t="s">
        <v>9</v>
      </c>
    </row>
    <row r="234" spans="1:2" hidden="1" x14ac:dyDescent="0.25">
      <c r="A234" t="s">
        <v>65</v>
      </c>
      <c r="B234" t="s">
        <v>10</v>
      </c>
    </row>
    <row r="235" spans="1:2" hidden="1" x14ac:dyDescent="0.25">
      <c r="A235" t="s">
        <v>65</v>
      </c>
      <c r="B235" t="s">
        <v>11</v>
      </c>
    </row>
    <row r="236" spans="1:2" hidden="1" x14ac:dyDescent="0.25">
      <c r="A236" t="s">
        <v>65</v>
      </c>
      <c r="B236" t="s">
        <v>12</v>
      </c>
    </row>
    <row r="237" spans="1:2" hidden="1" x14ac:dyDescent="0.25">
      <c r="A237" t="s">
        <v>65</v>
      </c>
      <c r="B237" t="s">
        <v>13</v>
      </c>
    </row>
    <row r="238" spans="1:2" hidden="1" x14ac:dyDescent="0.25">
      <c r="A238" t="s">
        <v>65</v>
      </c>
      <c r="B238" t="s">
        <v>14</v>
      </c>
    </row>
    <row r="239" spans="1:2" hidden="1" x14ac:dyDescent="0.25">
      <c r="A239" t="s">
        <v>65</v>
      </c>
      <c r="B239" t="s">
        <v>15</v>
      </c>
    </row>
    <row r="240" spans="1:2" hidden="1" x14ac:dyDescent="0.25">
      <c r="A240" t="s">
        <v>65</v>
      </c>
      <c r="B240" t="s">
        <v>16</v>
      </c>
    </row>
    <row r="241" spans="1:2" hidden="1" x14ac:dyDescent="0.25">
      <c r="A241" t="s">
        <v>65</v>
      </c>
      <c r="B241" t="s">
        <v>17</v>
      </c>
    </row>
    <row r="242" spans="1:2" hidden="1" x14ac:dyDescent="0.25">
      <c r="A242" t="s">
        <v>65</v>
      </c>
      <c r="B242" t="s">
        <v>18</v>
      </c>
    </row>
    <row r="243" spans="1:2" hidden="1" x14ac:dyDescent="0.25">
      <c r="A243" t="s">
        <v>65</v>
      </c>
      <c r="B243" t="s">
        <v>19</v>
      </c>
    </row>
    <row r="244" spans="1:2" hidden="1" x14ac:dyDescent="0.25">
      <c r="A244" t="s">
        <v>66</v>
      </c>
      <c r="B244" t="s">
        <v>2</v>
      </c>
    </row>
    <row r="245" spans="1:2" hidden="1" x14ac:dyDescent="0.25">
      <c r="A245" t="s">
        <v>66</v>
      </c>
      <c r="B245" t="s">
        <v>51</v>
      </c>
    </row>
    <row r="246" spans="1:2" hidden="1" x14ac:dyDescent="0.25">
      <c r="A246" t="s">
        <v>66</v>
      </c>
      <c r="B246" t="s">
        <v>52</v>
      </c>
    </row>
    <row r="247" spans="1:2" hidden="1" x14ac:dyDescent="0.25">
      <c r="A247" t="s">
        <v>66</v>
      </c>
      <c r="B247" t="s">
        <v>53</v>
      </c>
    </row>
    <row r="248" spans="1:2" hidden="1" x14ac:dyDescent="0.25">
      <c r="A248" t="s">
        <v>66</v>
      </c>
      <c r="B248" t="s">
        <v>54</v>
      </c>
    </row>
    <row r="249" spans="1:2" hidden="1" x14ac:dyDescent="0.25">
      <c r="A249" t="s">
        <v>66</v>
      </c>
      <c r="B249" t="s">
        <v>3</v>
      </c>
    </row>
    <row r="250" spans="1:2" hidden="1" x14ac:dyDescent="0.25">
      <c r="A250" t="s">
        <v>66</v>
      </c>
      <c r="B250" t="s">
        <v>4</v>
      </c>
    </row>
    <row r="251" spans="1:2" hidden="1" x14ac:dyDescent="0.25">
      <c r="A251" t="s">
        <v>66</v>
      </c>
      <c r="B251" t="s">
        <v>5</v>
      </c>
    </row>
    <row r="252" spans="1:2" hidden="1" x14ac:dyDescent="0.25">
      <c r="A252" t="s">
        <v>66</v>
      </c>
      <c r="B252" t="s">
        <v>6</v>
      </c>
    </row>
    <row r="253" spans="1:2" hidden="1" x14ac:dyDescent="0.25">
      <c r="A253" t="s">
        <v>66</v>
      </c>
      <c r="B253" t="s">
        <v>7</v>
      </c>
    </row>
    <row r="254" spans="1:2" hidden="1" x14ac:dyDescent="0.25">
      <c r="A254" t="s">
        <v>66</v>
      </c>
      <c r="B254" t="s">
        <v>8</v>
      </c>
    </row>
    <row r="255" spans="1:2" hidden="1" x14ac:dyDescent="0.25">
      <c r="A255" t="s">
        <v>66</v>
      </c>
      <c r="B255" t="s">
        <v>9</v>
      </c>
    </row>
    <row r="256" spans="1:2" hidden="1" x14ac:dyDescent="0.25">
      <c r="A256" t="s">
        <v>66</v>
      </c>
      <c r="B256" t="s">
        <v>10</v>
      </c>
    </row>
    <row r="257" spans="1:2" hidden="1" x14ac:dyDescent="0.25">
      <c r="A257" t="s">
        <v>66</v>
      </c>
      <c r="B257" t="s">
        <v>11</v>
      </c>
    </row>
    <row r="258" spans="1:2" hidden="1" x14ac:dyDescent="0.25">
      <c r="A258" t="s">
        <v>66</v>
      </c>
      <c r="B258" t="s">
        <v>12</v>
      </c>
    </row>
    <row r="259" spans="1:2" hidden="1" x14ac:dyDescent="0.25">
      <c r="A259" t="s">
        <v>66</v>
      </c>
      <c r="B259" t="s">
        <v>13</v>
      </c>
    </row>
    <row r="260" spans="1:2" hidden="1" x14ac:dyDescent="0.25">
      <c r="A260" t="s">
        <v>66</v>
      </c>
      <c r="B260" t="s">
        <v>14</v>
      </c>
    </row>
    <row r="261" spans="1:2" hidden="1" x14ac:dyDescent="0.25">
      <c r="A261" t="s">
        <v>66</v>
      </c>
      <c r="B261" t="s">
        <v>15</v>
      </c>
    </row>
    <row r="262" spans="1:2" hidden="1" x14ac:dyDescent="0.25">
      <c r="A262" t="s">
        <v>66</v>
      </c>
      <c r="B262" t="s">
        <v>16</v>
      </c>
    </row>
    <row r="263" spans="1:2" hidden="1" x14ac:dyDescent="0.25">
      <c r="A263" t="s">
        <v>66</v>
      </c>
      <c r="B263" t="s">
        <v>17</v>
      </c>
    </row>
    <row r="264" spans="1:2" hidden="1" x14ac:dyDescent="0.25">
      <c r="A264" t="s">
        <v>66</v>
      </c>
      <c r="B264" t="s">
        <v>18</v>
      </c>
    </row>
    <row r="265" spans="1:2" hidden="1" x14ac:dyDescent="0.25">
      <c r="A265" t="s">
        <v>66</v>
      </c>
      <c r="B265" t="s">
        <v>19</v>
      </c>
    </row>
    <row r="266" spans="1:2" hidden="1" x14ac:dyDescent="0.25">
      <c r="A266" t="s">
        <v>67</v>
      </c>
      <c r="B266" t="s">
        <v>2</v>
      </c>
    </row>
    <row r="267" spans="1:2" hidden="1" x14ac:dyDescent="0.25">
      <c r="A267" t="s">
        <v>67</v>
      </c>
      <c r="B267" t="s">
        <v>51</v>
      </c>
    </row>
    <row r="268" spans="1:2" hidden="1" x14ac:dyDescent="0.25">
      <c r="A268" t="s">
        <v>67</v>
      </c>
      <c r="B268" t="s">
        <v>52</v>
      </c>
    </row>
    <row r="269" spans="1:2" hidden="1" x14ac:dyDescent="0.25">
      <c r="A269" t="s">
        <v>67</v>
      </c>
      <c r="B269" t="s">
        <v>53</v>
      </c>
    </row>
    <row r="270" spans="1:2" hidden="1" x14ac:dyDescent="0.25">
      <c r="A270" t="s">
        <v>67</v>
      </c>
      <c r="B270" t="s">
        <v>54</v>
      </c>
    </row>
    <row r="271" spans="1:2" hidden="1" x14ac:dyDescent="0.25">
      <c r="A271" t="s">
        <v>67</v>
      </c>
      <c r="B271" t="s">
        <v>3</v>
      </c>
    </row>
    <row r="272" spans="1:2" hidden="1" x14ac:dyDescent="0.25">
      <c r="A272" t="s">
        <v>67</v>
      </c>
      <c r="B272" t="s">
        <v>4</v>
      </c>
    </row>
    <row r="273" spans="1:2" hidden="1" x14ac:dyDescent="0.25">
      <c r="A273" t="s">
        <v>67</v>
      </c>
      <c r="B273" t="s">
        <v>5</v>
      </c>
    </row>
    <row r="274" spans="1:2" hidden="1" x14ac:dyDescent="0.25">
      <c r="A274" t="s">
        <v>67</v>
      </c>
      <c r="B274" t="s">
        <v>6</v>
      </c>
    </row>
    <row r="275" spans="1:2" hidden="1" x14ac:dyDescent="0.25">
      <c r="A275" t="s">
        <v>67</v>
      </c>
      <c r="B275" t="s">
        <v>7</v>
      </c>
    </row>
    <row r="276" spans="1:2" hidden="1" x14ac:dyDescent="0.25">
      <c r="A276" t="s">
        <v>67</v>
      </c>
      <c r="B276" t="s">
        <v>8</v>
      </c>
    </row>
    <row r="277" spans="1:2" hidden="1" x14ac:dyDescent="0.25">
      <c r="A277" t="s">
        <v>67</v>
      </c>
      <c r="B277" t="s">
        <v>9</v>
      </c>
    </row>
    <row r="278" spans="1:2" hidden="1" x14ac:dyDescent="0.25">
      <c r="A278" t="s">
        <v>67</v>
      </c>
      <c r="B278" t="s">
        <v>10</v>
      </c>
    </row>
    <row r="279" spans="1:2" hidden="1" x14ac:dyDescent="0.25">
      <c r="A279" t="s">
        <v>67</v>
      </c>
      <c r="B279" t="s">
        <v>11</v>
      </c>
    </row>
    <row r="280" spans="1:2" hidden="1" x14ac:dyDescent="0.25">
      <c r="A280" t="s">
        <v>67</v>
      </c>
      <c r="B280" t="s">
        <v>12</v>
      </c>
    </row>
    <row r="281" spans="1:2" hidden="1" x14ac:dyDescent="0.25">
      <c r="A281" t="s">
        <v>67</v>
      </c>
      <c r="B281" t="s">
        <v>13</v>
      </c>
    </row>
    <row r="282" spans="1:2" hidden="1" x14ac:dyDescent="0.25">
      <c r="A282" t="s">
        <v>67</v>
      </c>
      <c r="B282" t="s">
        <v>14</v>
      </c>
    </row>
    <row r="283" spans="1:2" hidden="1" x14ac:dyDescent="0.25">
      <c r="A283" t="s">
        <v>67</v>
      </c>
      <c r="B283" t="s">
        <v>15</v>
      </c>
    </row>
    <row r="284" spans="1:2" hidden="1" x14ac:dyDescent="0.25">
      <c r="A284" t="s">
        <v>67</v>
      </c>
      <c r="B284" t="s">
        <v>16</v>
      </c>
    </row>
    <row r="285" spans="1:2" hidden="1" x14ac:dyDescent="0.25">
      <c r="A285" t="s">
        <v>67</v>
      </c>
      <c r="B285" t="s">
        <v>17</v>
      </c>
    </row>
    <row r="286" spans="1:2" hidden="1" x14ac:dyDescent="0.25">
      <c r="A286" t="s">
        <v>67</v>
      </c>
      <c r="B286" t="s">
        <v>18</v>
      </c>
    </row>
    <row r="287" spans="1:2" hidden="1" x14ac:dyDescent="0.25">
      <c r="A287" t="s">
        <v>67</v>
      </c>
      <c r="B287" t="s">
        <v>19</v>
      </c>
    </row>
    <row r="288" spans="1:2" hidden="1" x14ac:dyDescent="0.25">
      <c r="A288" t="s">
        <v>68</v>
      </c>
      <c r="B288" t="s">
        <v>2</v>
      </c>
    </row>
    <row r="289" spans="1:4" hidden="1" x14ac:dyDescent="0.25">
      <c r="A289" t="s">
        <v>68</v>
      </c>
      <c r="B289" t="s">
        <v>51</v>
      </c>
    </row>
    <row r="290" spans="1:4" hidden="1" x14ac:dyDescent="0.25">
      <c r="A290" t="s">
        <v>68</v>
      </c>
      <c r="B290" t="s">
        <v>52</v>
      </c>
    </row>
    <row r="291" spans="1:4" hidden="1" x14ac:dyDescent="0.25">
      <c r="A291" t="s">
        <v>68</v>
      </c>
      <c r="B291" t="s">
        <v>53</v>
      </c>
    </row>
    <row r="292" spans="1:4" hidden="1" x14ac:dyDescent="0.25">
      <c r="A292" t="s">
        <v>68</v>
      </c>
      <c r="B292" t="s">
        <v>54</v>
      </c>
    </row>
    <row r="293" spans="1:4" hidden="1" x14ac:dyDescent="0.25">
      <c r="A293" t="s">
        <v>68</v>
      </c>
      <c r="B293" t="s">
        <v>3</v>
      </c>
    </row>
    <row r="294" spans="1:4" hidden="1" x14ac:dyDescent="0.25">
      <c r="A294" t="s">
        <v>68</v>
      </c>
      <c r="B294" t="s">
        <v>4</v>
      </c>
    </row>
    <row r="295" spans="1:4" hidden="1" x14ac:dyDescent="0.25">
      <c r="A295" t="s">
        <v>68</v>
      </c>
      <c r="B295" t="s">
        <v>5</v>
      </c>
    </row>
    <row r="296" spans="1:4" hidden="1" x14ac:dyDescent="0.25">
      <c r="A296" t="s">
        <v>68</v>
      </c>
      <c r="B296" t="s">
        <v>6</v>
      </c>
    </row>
    <row r="297" spans="1:4" hidden="1" x14ac:dyDescent="0.25">
      <c r="A297" t="s">
        <v>68</v>
      </c>
      <c r="B297" t="s">
        <v>7</v>
      </c>
    </row>
    <row r="298" spans="1:4" hidden="1" x14ac:dyDescent="0.25">
      <c r="A298" t="s">
        <v>68</v>
      </c>
      <c r="B298" t="s">
        <v>8</v>
      </c>
    </row>
    <row r="299" spans="1:4" hidden="1" x14ac:dyDescent="0.25">
      <c r="A299" t="s">
        <v>68</v>
      </c>
      <c r="B299" t="s">
        <v>9</v>
      </c>
    </row>
    <row r="300" spans="1:4" hidden="1" x14ac:dyDescent="0.25">
      <c r="A300" t="s">
        <v>68</v>
      </c>
      <c r="B300" t="s">
        <v>10</v>
      </c>
    </row>
    <row r="301" spans="1:4" hidden="1" x14ac:dyDescent="0.25">
      <c r="A301" t="s">
        <v>68</v>
      </c>
      <c r="B301" t="s">
        <v>11</v>
      </c>
    </row>
    <row r="302" spans="1:4" hidden="1" x14ac:dyDescent="0.25">
      <c r="A302" t="s">
        <v>68</v>
      </c>
      <c r="B302" t="s">
        <v>12</v>
      </c>
    </row>
    <row r="303" spans="1:4" hidden="1" x14ac:dyDescent="0.25">
      <c r="A303" t="s">
        <v>68</v>
      </c>
      <c r="B303" t="s">
        <v>13</v>
      </c>
    </row>
    <row r="304" spans="1:4" hidden="1" x14ac:dyDescent="0.25">
      <c r="A304" t="s">
        <v>68</v>
      </c>
      <c r="B304" t="s">
        <v>14</v>
      </c>
      <c r="C304">
        <f>(209)/(180/24)</f>
        <v>27.866666666666667</v>
      </c>
      <c r="D304" t="s">
        <v>22</v>
      </c>
    </row>
    <row r="305" spans="1:4" hidden="1" x14ac:dyDescent="0.25">
      <c r="A305" t="s">
        <v>68</v>
      </c>
      <c r="B305" t="s">
        <v>15</v>
      </c>
      <c r="C305">
        <v>39.5</v>
      </c>
      <c r="D305" t="s">
        <v>22</v>
      </c>
    </row>
    <row r="306" spans="1:4" hidden="1" x14ac:dyDescent="0.25">
      <c r="A306" t="s">
        <v>68</v>
      </c>
      <c r="B306" t="s">
        <v>16</v>
      </c>
      <c r="C306">
        <f>299/(154/24)</f>
        <v>46.597402597402592</v>
      </c>
      <c r="D306" t="s">
        <v>22</v>
      </c>
    </row>
    <row r="307" spans="1:4" hidden="1" x14ac:dyDescent="0.25">
      <c r="A307" t="s">
        <v>68</v>
      </c>
      <c r="B307" t="s">
        <v>17</v>
      </c>
      <c r="C307">
        <v>1.36985</v>
      </c>
      <c r="D307" t="s">
        <v>22</v>
      </c>
    </row>
    <row r="308" spans="1:4" hidden="1" x14ac:dyDescent="0.25">
      <c r="A308" t="s">
        <v>68</v>
      </c>
      <c r="B308" t="s">
        <v>18</v>
      </c>
      <c r="C308">
        <v>0.50790555999999998</v>
      </c>
      <c r="D308" t="s">
        <v>22</v>
      </c>
    </row>
    <row r="309" spans="1:4" hidden="1" x14ac:dyDescent="0.25">
      <c r="A309" t="s">
        <v>68</v>
      </c>
      <c r="B309" t="s">
        <v>19</v>
      </c>
      <c r="C309">
        <v>0.41901666999999998</v>
      </c>
      <c r="D309" t="s">
        <v>22</v>
      </c>
    </row>
    <row r="310" spans="1:4" hidden="1" x14ac:dyDescent="0.25">
      <c r="A310" t="s">
        <v>69</v>
      </c>
      <c r="B310" t="s">
        <v>2</v>
      </c>
    </row>
    <row r="311" spans="1:4" hidden="1" x14ac:dyDescent="0.25">
      <c r="A311" t="s">
        <v>69</v>
      </c>
      <c r="B311" t="s">
        <v>51</v>
      </c>
    </row>
    <row r="312" spans="1:4" hidden="1" x14ac:dyDescent="0.25">
      <c r="A312" t="s">
        <v>69</v>
      </c>
      <c r="B312" t="s">
        <v>52</v>
      </c>
    </row>
    <row r="313" spans="1:4" hidden="1" x14ac:dyDescent="0.25">
      <c r="A313" t="s">
        <v>69</v>
      </c>
      <c r="B313" t="s">
        <v>53</v>
      </c>
    </row>
    <row r="314" spans="1:4" hidden="1" x14ac:dyDescent="0.25">
      <c r="A314" t="s">
        <v>69</v>
      </c>
      <c r="B314" t="s">
        <v>54</v>
      </c>
    </row>
    <row r="315" spans="1:4" hidden="1" x14ac:dyDescent="0.25">
      <c r="A315" t="s">
        <v>69</v>
      </c>
      <c r="B315" t="s">
        <v>3</v>
      </c>
    </row>
    <row r="316" spans="1:4" hidden="1" x14ac:dyDescent="0.25">
      <c r="A316" t="s">
        <v>69</v>
      </c>
      <c r="B316" t="s">
        <v>4</v>
      </c>
    </row>
    <row r="317" spans="1:4" hidden="1" x14ac:dyDescent="0.25">
      <c r="A317" t="s">
        <v>69</v>
      </c>
      <c r="B317" t="s">
        <v>5</v>
      </c>
    </row>
    <row r="318" spans="1:4" hidden="1" x14ac:dyDescent="0.25">
      <c r="A318" t="s">
        <v>69</v>
      </c>
      <c r="B318" t="s">
        <v>6</v>
      </c>
    </row>
    <row r="319" spans="1:4" hidden="1" x14ac:dyDescent="0.25">
      <c r="A319" t="s">
        <v>69</v>
      </c>
      <c r="B319" t="s">
        <v>7</v>
      </c>
    </row>
    <row r="320" spans="1:4" hidden="1" x14ac:dyDescent="0.25">
      <c r="A320" t="s">
        <v>69</v>
      </c>
      <c r="B320" t="s">
        <v>8</v>
      </c>
    </row>
    <row r="321" spans="1:4" hidden="1" x14ac:dyDescent="0.25">
      <c r="A321" t="s">
        <v>69</v>
      </c>
      <c r="B321" t="s">
        <v>9</v>
      </c>
    </row>
    <row r="322" spans="1:4" hidden="1" x14ac:dyDescent="0.25">
      <c r="A322" t="s">
        <v>69</v>
      </c>
      <c r="B322" t="s">
        <v>10</v>
      </c>
    </row>
    <row r="323" spans="1:4" hidden="1" x14ac:dyDescent="0.25">
      <c r="A323" t="s">
        <v>69</v>
      </c>
      <c r="B323" t="s">
        <v>11</v>
      </c>
    </row>
    <row r="324" spans="1:4" hidden="1" x14ac:dyDescent="0.25">
      <c r="A324" t="s">
        <v>69</v>
      </c>
      <c r="B324" t="s">
        <v>12</v>
      </c>
    </row>
    <row r="325" spans="1:4" hidden="1" x14ac:dyDescent="0.25">
      <c r="A325" t="s">
        <v>69</v>
      </c>
      <c r="B325" t="s">
        <v>13</v>
      </c>
    </row>
    <row r="326" spans="1:4" hidden="1" x14ac:dyDescent="0.25">
      <c r="A326" t="s">
        <v>69</v>
      </c>
      <c r="B326" t="s">
        <v>14</v>
      </c>
      <c r="C326">
        <f>43/180</f>
        <v>0.2388888888888889</v>
      </c>
      <c r="D326" t="s">
        <v>22</v>
      </c>
    </row>
    <row r="327" spans="1:4" hidden="1" x14ac:dyDescent="0.25">
      <c r="A327" t="s">
        <v>69</v>
      </c>
      <c r="B327" t="s">
        <v>15</v>
      </c>
      <c r="C327">
        <f>43/184</f>
        <v>0.23369565217391305</v>
      </c>
      <c r="D327" t="s">
        <v>22</v>
      </c>
    </row>
    <row r="328" spans="1:4" hidden="1" x14ac:dyDescent="0.25">
      <c r="A328" t="s">
        <v>69</v>
      </c>
      <c r="B328" t="s">
        <v>16</v>
      </c>
    </row>
    <row r="329" spans="1:4" hidden="1" x14ac:dyDescent="0.25">
      <c r="A329" t="s">
        <v>69</v>
      </c>
      <c r="B329" t="s">
        <v>17</v>
      </c>
    </row>
    <row r="330" spans="1:4" hidden="1" x14ac:dyDescent="0.25">
      <c r="A330" t="s">
        <v>69</v>
      </c>
      <c r="B330" t="s">
        <v>18</v>
      </c>
    </row>
    <row r="331" spans="1:4" hidden="1" x14ac:dyDescent="0.25">
      <c r="A331" t="s">
        <v>69</v>
      </c>
      <c r="B331" t="s">
        <v>19</v>
      </c>
    </row>
    <row r="332" spans="1:4" hidden="1" x14ac:dyDescent="0.25">
      <c r="A332" t="s">
        <v>70</v>
      </c>
      <c r="B332" t="s">
        <v>2</v>
      </c>
    </row>
    <row r="333" spans="1:4" hidden="1" x14ac:dyDescent="0.25">
      <c r="A333" t="s">
        <v>70</v>
      </c>
      <c r="B333" t="s">
        <v>51</v>
      </c>
    </row>
    <row r="334" spans="1:4" hidden="1" x14ac:dyDescent="0.25">
      <c r="A334" t="s">
        <v>70</v>
      </c>
      <c r="B334" t="s">
        <v>52</v>
      </c>
    </row>
    <row r="335" spans="1:4" hidden="1" x14ac:dyDescent="0.25">
      <c r="A335" t="s">
        <v>70</v>
      </c>
      <c r="B335" t="s">
        <v>53</v>
      </c>
    </row>
    <row r="336" spans="1:4" hidden="1" x14ac:dyDescent="0.25">
      <c r="A336" t="s">
        <v>70</v>
      </c>
      <c r="B336" t="s">
        <v>54</v>
      </c>
    </row>
    <row r="337" spans="1:2" hidden="1" x14ac:dyDescent="0.25">
      <c r="A337" t="s">
        <v>70</v>
      </c>
      <c r="B337" t="s">
        <v>3</v>
      </c>
    </row>
    <row r="338" spans="1:2" hidden="1" x14ac:dyDescent="0.25">
      <c r="A338" t="s">
        <v>70</v>
      </c>
      <c r="B338" t="s">
        <v>4</v>
      </c>
    </row>
    <row r="339" spans="1:2" hidden="1" x14ac:dyDescent="0.25">
      <c r="A339" t="s">
        <v>70</v>
      </c>
      <c r="B339" t="s">
        <v>5</v>
      </c>
    </row>
    <row r="340" spans="1:2" hidden="1" x14ac:dyDescent="0.25">
      <c r="A340" t="s">
        <v>70</v>
      </c>
      <c r="B340" t="s">
        <v>6</v>
      </c>
    </row>
    <row r="341" spans="1:2" hidden="1" x14ac:dyDescent="0.25">
      <c r="A341" t="s">
        <v>70</v>
      </c>
      <c r="B341" t="s">
        <v>7</v>
      </c>
    </row>
    <row r="342" spans="1:2" hidden="1" x14ac:dyDescent="0.25">
      <c r="A342" t="s">
        <v>70</v>
      </c>
      <c r="B342" t="s">
        <v>8</v>
      </c>
    </row>
    <row r="343" spans="1:2" hidden="1" x14ac:dyDescent="0.25">
      <c r="A343" t="s">
        <v>70</v>
      </c>
      <c r="B343" t="s">
        <v>9</v>
      </c>
    </row>
    <row r="344" spans="1:2" hidden="1" x14ac:dyDescent="0.25">
      <c r="A344" t="s">
        <v>70</v>
      </c>
      <c r="B344" t="s">
        <v>10</v>
      </c>
    </row>
    <row r="345" spans="1:2" hidden="1" x14ac:dyDescent="0.25">
      <c r="A345" t="s">
        <v>70</v>
      </c>
      <c r="B345" t="s">
        <v>11</v>
      </c>
    </row>
    <row r="346" spans="1:2" hidden="1" x14ac:dyDescent="0.25">
      <c r="A346" t="s">
        <v>70</v>
      </c>
      <c r="B346" t="s">
        <v>12</v>
      </c>
    </row>
    <row r="347" spans="1:2" hidden="1" x14ac:dyDescent="0.25">
      <c r="A347" t="s">
        <v>70</v>
      </c>
      <c r="B347" t="s">
        <v>13</v>
      </c>
    </row>
    <row r="348" spans="1:2" hidden="1" x14ac:dyDescent="0.25">
      <c r="A348" t="s">
        <v>70</v>
      </c>
      <c r="B348" t="s">
        <v>14</v>
      </c>
    </row>
    <row r="349" spans="1:2" hidden="1" x14ac:dyDescent="0.25">
      <c r="A349" t="s">
        <v>70</v>
      </c>
      <c r="B349" t="s">
        <v>15</v>
      </c>
    </row>
    <row r="350" spans="1:2" hidden="1" x14ac:dyDescent="0.25">
      <c r="A350" t="s">
        <v>70</v>
      </c>
      <c r="B350" t="s">
        <v>16</v>
      </c>
    </row>
    <row r="351" spans="1:2" hidden="1" x14ac:dyDescent="0.25">
      <c r="A351" t="s">
        <v>70</v>
      </c>
      <c r="B351" t="s">
        <v>17</v>
      </c>
    </row>
    <row r="352" spans="1:2" hidden="1" x14ac:dyDescent="0.25">
      <c r="A352" t="s">
        <v>70</v>
      </c>
      <c r="B352" t="s">
        <v>18</v>
      </c>
    </row>
    <row r="353" spans="1:2" hidden="1" x14ac:dyDescent="0.25">
      <c r="A353" t="s">
        <v>70</v>
      </c>
      <c r="B353" t="s">
        <v>19</v>
      </c>
    </row>
    <row r="354" spans="1:2" hidden="1" x14ac:dyDescent="0.25">
      <c r="A354" t="s">
        <v>71</v>
      </c>
      <c r="B354" t="s">
        <v>2</v>
      </c>
    </row>
    <row r="355" spans="1:2" hidden="1" x14ac:dyDescent="0.25">
      <c r="A355" t="s">
        <v>71</v>
      </c>
      <c r="B355" t="s">
        <v>51</v>
      </c>
    </row>
    <row r="356" spans="1:2" hidden="1" x14ac:dyDescent="0.25">
      <c r="A356" t="s">
        <v>71</v>
      </c>
      <c r="B356" t="s">
        <v>52</v>
      </c>
    </row>
    <row r="357" spans="1:2" hidden="1" x14ac:dyDescent="0.25">
      <c r="A357" t="s">
        <v>71</v>
      </c>
      <c r="B357" t="s">
        <v>53</v>
      </c>
    </row>
    <row r="358" spans="1:2" hidden="1" x14ac:dyDescent="0.25">
      <c r="A358" t="s">
        <v>71</v>
      </c>
      <c r="B358" t="s">
        <v>54</v>
      </c>
    </row>
    <row r="359" spans="1:2" hidden="1" x14ac:dyDescent="0.25">
      <c r="A359" t="s">
        <v>71</v>
      </c>
      <c r="B359" t="s">
        <v>3</v>
      </c>
    </row>
    <row r="360" spans="1:2" hidden="1" x14ac:dyDescent="0.25">
      <c r="A360" t="s">
        <v>71</v>
      </c>
      <c r="B360" t="s">
        <v>4</v>
      </c>
    </row>
    <row r="361" spans="1:2" hidden="1" x14ac:dyDescent="0.25">
      <c r="A361" t="s">
        <v>71</v>
      </c>
      <c r="B361" t="s">
        <v>5</v>
      </c>
    </row>
    <row r="362" spans="1:2" hidden="1" x14ac:dyDescent="0.25">
      <c r="A362" t="s">
        <v>71</v>
      </c>
      <c r="B362" t="s">
        <v>6</v>
      </c>
    </row>
    <row r="363" spans="1:2" hidden="1" x14ac:dyDescent="0.25">
      <c r="A363" t="s">
        <v>71</v>
      </c>
      <c r="B363" t="s">
        <v>7</v>
      </c>
    </row>
    <row r="364" spans="1:2" hidden="1" x14ac:dyDescent="0.25">
      <c r="A364" t="s">
        <v>71</v>
      </c>
      <c r="B364" t="s">
        <v>8</v>
      </c>
    </row>
    <row r="365" spans="1:2" hidden="1" x14ac:dyDescent="0.25">
      <c r="A365" t="s">
        <v>71</v>
      </c>
      <c r="B365" t="s">
        <v>9</v>
      </c>
    </row>
    <row r="366" spans="1:2" hidden="1" x14ac:dyDescent="0.25">
      <c r="A366" t="s">
        <v>71</v>
      </c>
      <c r="B366" t="s">
        <v>10</v>
      </c>
    </row>
    <row r="367" spans="1:2" hidden="1" x14ac:dyDescent="0.25">
      <c r="A367" t="s">
        <v>71</v>
      </c>
      <c r="B367" t="s">
        <v>11</v>
      </c>
    </row>
    <row r="368" spans="1:2" hidden="1" x14ac:dyDescent="0.25">
      <c r="A368" t="s">
        <v>71</v>
      </c>
      <c r="B368" t="s">
        <v>12</v>
      </c>
    </row>
    <row r="369" spans="1:4" hidden="1" x14ac:dyDescent="0.25">
      <c r="A369" t="s">
        <v>71</v>
      </c>
      <c r="B369" t="s">
        <v>13</v>
      </c>
      <c r="C369">
        <v>0.24399999999999999</v>
      </c>
      <c r="D369" t="s">
        <v>22</v>
      </c>
    </row>
    <row r="370" spans="1:4" hidden="1" x14ac:dyDescent="0.25">
      <c r="A370" t="s">
        <v>71</v>
      </c>
      <c r="B370" t="s">
        <v>14</v>
      </c>
    </row>
    <row r="371" spans="1:4" hidden="1" x14ac:dyDescent="0.25">
      <c r="A371" t="s">
        <v>71</v>
      </c>
      <c r="B371" t="s">
        <v>15</v>
      </c>
    </row>
    <row r="372" spans="1:4" hidden="1" x14ac:dyDescent="0.25">
      <c r="A372" t="s">
        <v>71</v>
      </c>
      <c r="B372" t="s">
        <v>16</v>
      </c>
    </row>
    <row r="373" spans="1:4" hidden="1" x14ac:dyDescent="0.25">
      <c r="A373" t="s">
        <v>71</v>
      </c>
      <c r="B373" t="s">
        <v>17</v>
      </c>
    </row>
    <row r="374" spans="1:4" hidden="1" x14ac:dyDescent="0.25">
      <c r="A374" t="s">
        <v>71</v>
      </c>
      <c r="B374" t="s">
        <v>18</v>
      </c>
    </row>
    <row r="375" spans="1:4" hidden="1" x14ac:dyDescent="0.25">
      <c r="A375" t="s">
        <v>71</v>
      </c>
      <c r="B375" t="s">
        <v>19</v>
      </c>
    </row>
    <row r="376" spans="1:4" hidden="1" x14ac:dyDescent="0.25">
      <c r="A376" t="s">
        <v>72</v>
      </c>
      <c r="B376" t="s">
        <v>2</v>
      </c>
    </row>
    <row r="377" spans="1:4" hidden="1" x14ac:dyDescent="0.25">
      <c r="A377" t="s">
        <v>72</v>
      </c>
      <c r="B377" t="s">
        <v>51</v>
      </c>
    </row>
    <row r="378" spans="1:4" hidden="1" x14ac:dyDescent="0.25">
      <c r="A378" t="s">
        <v>72</v>
      </c>
      <c r="B378" t="s">
        <v>52</v>
      </c>
    </row>
    <row r="379" spans="1:4" hidden="1" x14ac:dyDescent="0.25">
      <c r="A379" t="s">
        <v>72</v>
      </c>
      <c r="B379" t="s">
        <v>53</v>
      </c>
    </row>
    <row r="380" spans="1:4" hidden="1" x14ac:dyDescent="0.25">
      <c r="A380" t="s">
        <v>72</v>
      </c>
      <c r="B380" t="s">
        <v>54</v>
      </c>
    </row>
    <row r="381" spans="1:4" hidden="1" x14ac:dyDescent="0.25">
      <c r="A381" t="s">
        <v>72</v>
      </c>
      <c r="B381" t="s">
        <v>3</v>
      </c>
    </row>
    <row r="382" spans="1:4" hidden="1" x14ac:dyDescent="0.25">
      <c r="A382" t="s">
        <v>72</v>
      </c>
      <c r="B382" t="s">
        <v>4</v>
      </c>
    </row>
    <row r="383" spans="1:4" hidden="1" x14ac:dyDescent="0.25">
      <c r="A383" t="s">
        <v>72</v>
      </c>
      <c r="B383" t="s">
        <v>5</v>
      </c>
    </row>
    <row r="384" spans="1:4" hidden="1" x14ac:dyDescent="0.25">
      <c r="A384" t="s">
        <v>72</v>
      </c>
      <c r="B384" t="s">
        <v>6</v>
      </c>
    </row>
    <row r="385" spans="1:2" hidden="1" x14ac:dyDescent="0.25">
      <c r="A385" t="s">
        <v>72</v>
      </c>
      <c r="B385" t="s">
        <v>7</v>
      </c>
    </row>
    <row r="386" spans="1:2" hidden="1" x14ac:dyDescent="0.25">
      <c r="A386" t="s">
        <v>72</v>
      </c>
      <c r="B386" t="s">
        <v>8</v>
      </c>
    </row>
    <row r="387" spans="1:2" hidden="1" x14ac:dyDescent="0.25">
      <c r="A387" t="s">
        <v>72</v>
      </c>
      <c r="B387" t="s">
        <v>9</v>
      </c>
    </row>
    <row r="388" spans="1:2" hidden="1" x14ac:dyDescent="0.25">
      <c r="A388" t="s">
        <v>72</v>
      </c>
      <c r="B388" t="s">
        <v>10</v>
      </c>
    </row>
    <row r="389" spans="1:2" hidden="1" x14ac:dyDescent="0.25">
      <c r="A389" t="s">
        <v>72</v>
      </c>
      <c r="B389" t="s">
        <v>11</v>
      </c>
    </row>
    <row r="390" spans="1:2" hidden="1" x14ac:dyDescent="0.25">
      <c r="A390" t="s">
        <v>72</v>
      </c>
      <c r="B390" t="s">
        <v>12</v>
      </c>
    </row>
    <row r="391" spans="1:2" hidden="1" x14ac:dyDescent="0.25">
      <c r="A391" t="s">
        <v>72</v>
      </c>
      <c r="B391" t="s">
        <v>13</v>
      </c>
    </row>
    <row r="392" spans="1:2" hidden="1" x14ac:dyDescent="0.25">
      <c r="A392" t="s">
        <v>72</v>
      </c>
      <c r="B392" t="s">
        <v>14</v>
      </c>
    </row>
    <row r="393" spans="1:2" hidden="1" x14ac:dyDescent="0.25">
      <c r="A393" t="s">
        <v>72</v>
      </c>
      <c r="B393" t="s">
        <v>15</v>
      </c>
    </row>
    <row r="394" spans="1:2" hidden="1" x14ac:dyDescent="0.25">
      <c r="A394" t="s">
        <v>72</v>
      </c>
      <c r="B394" t="s">
        <v>16</v>
      </c>
    </row>
    <row r="395" spans="1:2" hidden="1" x14ac:dyDescent="0.25">
      <c r="A395" t="s">
        <v>72</v>
      </c>
      <c r="B395" t="s">
        <v>17</v>
      </c>
    </row>
    <row r="396" spans="1:2" hidden="1" x14ac:dyDescent="0.25">
      <c r="A396" t="s">
        <v>72</v>
      </c>
      <c r="B396" t="s">
        <v>18</v>
      </c>
    </row>
    <row r="397" spans="1:2" hidden="1" x14ac:dyDescent="0.25">
      <c r="A397" t="s">
        <v>72</v>
      </c>
      <c r="B397" t="s">
        <v>19</v>
      </c>
    </row>
    <row r="398" spans="1:2" hidden="1" x14ac:dyDescent="0.25">
      <c r="A398" t="s">
        <v>73</v>
      </c>
      <c r="B398" t="s">
        <v>2</v>
      </c>
    </row>
    <row r="399" spans="1:2" hidden="1" x14ac:dyDescent="0.25">
      <c r="A399" t="s">
        <v>73</v>
      </c>
      <c r="B399" t="s">
        <v>51</v>
      </c>
    </row>
    <row r="400" spans="1:2" hidden="1" x14ac:dyDescent="0.25">
      <c r="A400" t="s">
        <v>73</v>
      </c>
      <c r="B400" t="s">
        <v>52</v>
      </c>
    </row>
    <row r="401" spans="1:4" hidden="1" x14ac:dyDescent="0.25">
      <c r="A401" t="s">
        <v>73</v>
      </c>
      <c r="B401" t="s">
        <v>53</v>
      </c>
    </row>
    <row r="402" spans="1:4" hidden="1" x14ac:dyDescent="0.25">
      <c r="A402" t="s">
        <v>73</v>
      </c>
      <c r="B402" t="s">
        <v>54</v>
      </c>
    </row>
    <row r="403" spans="1:4" hidden="1" x14ac:dyDescent="0.25">
      <c r="A403" t="s">
        <v>73</v>
      </c>
      <c r="B403" t="s">
        <v>3</v>
      </c>
    </row>
    <row r="404" spans="1:4" hidden="1" x14ac:dyDescent="0.25">
      <c r="A404" t="s">
        <v>73</v>
      </c>
      <c r="B404" t="s">
        <v>4</v>
      </c>
    </row>
    <row r="405" spans="1:4" hidden="1" x14ac:dyDescent="0.25">
      <c r="A405" t="s">
        <v>73</v>
      </c>
      <c r="B405" t="s">
        <v>5</v>
      </c>
    </row>
    <row r="406" spans="1:4" hidden="1" x14ac:dyDescent="0.25">
      <c r="A406" t="s">
        <v>73</v>
      </c>
      <c r="B406" t="s">
        <v>6</v>
      </c>
    </row>
    <row r="407" spans="1:4" hidden="1" x14ac:dyDescent="0.25">
      <c r="A407" t="s">
        <v>73</v>
      </c>
      <c r="B407" t="s">
        <v>7</v>
      </c>
    </row>
    <row r="408" spans="1:4" hidden="1" x14ac:dyDescent="0.25">
      <c r="A408" t="s">
        <v>73</v>
      </c>
      <c r="B408" t="s">
        <v>8</v>
      </c>
    </row>
    <row r="409" spans="1:4" hidden="1" x14ac:dyDescent="0.25">
      <c r="A409" t="s">
        <v>73</v>
      </c>
      <c r="B409" t="s">
        <v>9</v>
      </c>
    </row>
    <row r="410" spans="1:4" hidden="1" x14ac:dyDescent="0.25">
      <c r="A410" t="s">
        <v>73</v>
      </c>
      <c r="B410" t="s">
        <v>10</v>
      </c>
    </row>
    <row r="411" spans="1:4" hidden="1" x14ac:dyDescent="0.25">
      <c r="A411" t="s">
        <v>73</v>
      </c>
      <c r="B411" t="s">
        <v>11</v>
      </c>
    </row>
    <row r="412" spans="1:4" hidden="1" x14ac:dyDescent="0.25">
      <c r="A412" t="s">
        <v>73</v>
      </c>
      <c r="B412" t="s">
        <v>12</v>
      </c>
    </row>
    <row r="413" spans="1:4" hidden="1" x14ac:dyDescent="0.25">
      <c r="A413" t="s">
        <v>73</v>
      </c>
      <c r="B413" t="s">
        <v>13</v>
      </c>
      <c r="C413">
        <f>2/6*0.572</f>
        <v>0.19066666666666665</v>
      </c>
      <c r="D413" t="s">
        <v>22</v>
      </c>
    </row>
    <row r="414" spans="1:4" hidden="1" x14ac:dyDescent="0.25">
      <c r="A414" t="s">
        <v>73</v>
      </c>
      <c r="B414" t="s">
        <v>14</v>
      </c>
    </row>
    <row r="415" spans="1:4" hidden="1" x14ac:dyDescent="0.25">
      <c r="A415" t="s">
        <v>73</v>
      </c>
      <c r="B415" t="s">
        <v>15</v>
      </c>
    </row>
    <row r="416" spans="1:4" hidden="1" x14ac:dyDescent="0.25">
      <c r="A416" t="s">
        <v>73</v>
      </c>
      <c r="B416" t="s">
        <v>16</v>
      </c>
    </row>
    <row r="417" spans="1:2" hidden="1" x14ac:dyDescent="0.25">
      <c r="A417" t="s">
        <v>73</v>
      </c>
      <c r="B417" t="s">
        <v>17</v>
      </c>
    </row>
    <row r="418" spans="1:2" hidden="1" x14ac:dyDescent="0.25">
      <c r="A418" t="s">
        <v>73</v>
      </c>
      <c r="B418" t="s">
        <v>18</v>
      </c>
    </row>
    <row r="419" spans="1:2" hidden="1" x14ac:dyDescent="0.25">
      <c r="A419" t="s">
        <v>73</v>
      </c>
      <c r="B419" t="s">
        <v>19</v>
      </c>
    </row>
    <row r="420" spans="1:2" hidden="1" x14ac:dyDescent="0.25">
      <c r="A420" t="s">
        <v>74</v>
      </c>
      <c r="B420" t="s">
        <v>2</v>
      </c>
    </row>
    <row r="421" spans="1:2" hidden="1" x14ac:dyDescent="0.25">
      <c r="A421" t="s">
        <v>74</v>
      </c>
      <c r="B421" t="s">
        <v>51</v>
      </c>
    </row>
    <row r="422" spans="1:2" hidden="1" x14ac:dyDescent="0.25">
      <c r="A422" t="s">
        <v>74</v>
      </c>
      <c r="B422" t="s">
        <v>52</v>
      </c>
    </row>
    <row r="423" spans="1:2" hidden="1" x14ac:dyDescent="0.25">
      <c r="A423" t="s">
        <v>74</v>
      </c>
      <c r="B423" t="s">
        <v>53</v>
      </c>
    </row>
    <row r="424" spans="1:2" hidden="1" x14ac:dyDescent="0.25">
      <c r="A424" t="s">
        <v>74</v>
      </c>
      <c r="B424" t="s">
        <v>54</v>
      </c>
    </row>
    <row r="425" spans="1:2" hidden="1" x14ac:dyDescent="0.25">
      <c r="A425" t="s">
        <v>74</v>
      </c>
      <c r="B425" t="s">
        <v>3</v>
      </c>
    </row>
    <row r="426" spans="1:2" hidden="1" x14ac:dyDescent="0.25">
      <c r="A426" t="s">
        <v>74</v>
      </c>
      <c r="B426" t="s">
        <v>4</v>
      </c>
    </row>
    <row r="427" spans="1:2" hidden="1" x14ac:dyDescent="0.25">
      <c r="A427" t="s">
        <v>74</v>
      </c>
      <c r="B427" t="s">
        <v>5</v>
      </c>
    </row>
    <row r="428" spans="1:2" hidden="1" x14ac:dyDescent="0.25">
      <c r="A428" t="s">
        <v>74</v>
      </c>
      <c r="B428" t="s">
        <v>6</v>
      </c>
    </row>
    <row r="429" spans="1:2" hidden="1" x14ac:dyDescent="0.25">
      <c r="A429" t="s">
        <v>74</v>
      </c>
      <c r="B429" t="s">
        <v>7</v>
      </c>
    </row>
    <row r="430" spans="1:2" hidden="1" x14ac:dyDescent="0.25">
      <c r="A430" t="s">
        <v>74</v>
      </c>
      <c r="B430" t="s">
        <v>8</v>
      </c>
    </row>
    <row r="431" spans="1:2" hidden="1" x14ac:dyDescent="0.25">
      <c r="A431" t="s">
        <v>74</v>
      </c>
      <c r="B431" t="s">
        <v>9</v>
      </c>
    </row>
    <row r="432" spans="1:2" hidden="1" x14ac:dyDescent="0.25">
      <c r="A432" t="s">
        <v>74</v>
      </c>
      <c r="B432" t="s">
        <v>10</v>
      </c>
    </row>
    <row r="433" spans="1:4" hidden="1" x14ac:dyDescent="0.25">
      <c r="A433" t="s">
        <v>74</v>
      </c>
      <c r="B433" t="s">
        <v>11</v>
      </c>
    </row>
    <row r="434" spans="1:4" hidden="1" x14ac:dyDescent="0.25">
      <c r="A434" t="s">
        <v>74</v>
      </c>
      <c r="B434" t="s">
        <v>12</v>
      </c>
    </row>
    <row r="435" spans="1:4" hidden="1" x14ac:dyDescent="0.25">
      <c r="A435" t="s">
        <v>74</v>
      </c>
      <c r="B435" t="s">
        <v>13</v>
      </c>
      <c r="C435">
        <v>1</v>
      </c>
      <c r="D435" t="s">
        <v>22</v>
      </c>
    </row>
    <row r="436" spans="1:4" hidden="1" x14ac:dyDescent="0.25">
      <c r="A436" t="s">
        <v>74</v>
      </c>
      <c r="B436" t="s">
        <v>14</v>
      </c>
    </row>
    <row r="437" spans="1:4" hidden="1" x14ac:dyDescent="0.25">
      <c r="A437" t="s">
        <v>74</v>
      </c>
      <c r="B437" t="s">
        <v>15</v>
      </c>
    </row>
    <row r="438" spans="1:4" hidden="1" x14ac:dyDescent="0.25">
      <c r="A438" t="s">
        <v>74</v>
      </c>
      <c r="B438" t="s">
        <v>16</v>
      </c>
    </row>
    <row r="439" spans="1:4" hidden="1" x14ac:dyDescent="0.25">
      <c r="A439" t="s">
        <v>74</v>
      </c>
      <c r="B439" t="s">
        <v>17</v>
      </c>
    </row>
    <row r="440" spans="1:4" hidden="1" x14ac:dyDescent="0.25">
      <c r="A440" t="s">
        <v>74</v>
      </c>
      <c r="B440" t="s">
        <v>18</v>
      </c>
    </row>
    <row r="441" spans="1:4" hidden="1" x14ac:dyDescent="0.25">
      <c r="A441" t="s">
        <v>74</v>
      </c>
      <c r="B441" t="s">
        <v>19</v>
      </c>
    </row>
    <row r="442" spans="1:4" hidden="1" x14ac:dyDescent="0.25">
      <c r="A442" t="s">
        <v>75</v>
      </c>
      <c r="B442" t="s">
        <v>2</v>
      </c>
    </row>
    <row r="443" spans="1:4" hidden="1" x14ac:dyDescent="0.25">
      <c r="A443" t="s">
        <v>75</v>
      </c>
      <c r="B443" t="s">
        <v>51</v>
      </c>
    </row>
    <row r="444" spans="1:4" hidden="1" x14ac:dyDescent="0.25">
      <c r="A444" t="s">
        <v>75</v>
      </c>
      <c r="B444" t="s">
        <v>52</v>
      </c>
    </row>
    <row r="445" spans="1:4" hidden="1" x14ac:dyDescent="0.25">
      <c r="A445" t="s">
        <v>75</v>
      </c>
      <c r="B445" t="s">
        <v>53</v>
      </c>
    </row>
    <row r="446" spans="1:4" hidden="1" x14ac:dyDescent="0.25">
      <c r="A446" t="s">
        <v>75</v>
      </c>
      <c r="B446" t="s">
        <v>54</v>
      </c>
    </row>
    <row r="447" spans="1:4" hidden="1" x14ac:dyDescent="0.25">
      <c r="A447" t="s">
        <v>75</v>
      </c>
      <c r="B447" t="s">
        <v>3</v>
      </c>
    </row>
    <row r="448" spans="1:4" hidden="1" x14ac:dyDescent="0.25">
      <c r="A448" t="s">
        <v>75</v>
      </c>
      <c r="B448" t="s">
        <v>4</v>
      </c>
    </row>
    <row r="449" spans="1:2" hidden="1" x14ac:dyDescent="0.25">
      <c r="A449" t="s">
        <v>75</v>
      </c>
      <c r="B449" t="s">
        <v>5</v>
      </c>
    </row>
    <row r="450" spans="1:2" hidden="1" x14ac:dyDescent="0.25">
      <c r="A450" t="s">
        <v>75</v>
      </c>
      <c r="B450" t="s">
        <v>6</v>
      </c>
    </row>
    <row r="451" spans="1:2" hidden="1" x14ac:dyDescent="0.25">
      <c r="A451" t="s">
        <v>75</v>
      </c>
      <c r="B451" t="s">
        <v>7</v>
      </c>
    </row>
    <row r="452" spans="1:2" hidden="1" x14ac:dyDescent="0.25">
      <c r="A452" t="s">
        <v>75</v>
      </c>
      <c r="B452" t="s">
        <v>8</v>
      </c>
    </row>
    <row r="453" spans="1:2" hidden="1" x14ac:dyDescent="0.25">
      <c r="A453" t="s">
        <v>75</v>
      </c>
      <c r="B453" t="s">
        <v>9</v>
      </c>
    </row>
    <row r="454" spans="1:2" hidden="1" x14ac:dyDescent="0.25">
      <c r="A454" t="s">
        <v>75</v>
      </c>
      <c r="B454" t="s">
        <v>10</v>
      </c>
    </row>
    <row r="455" spans="1:2" hidden="1" x14ac:dyDescent="0.25">
      <c r="A455" t="s">
        <v>75</v>
      </c>
      <c r="B455" t="s">
        <v>11</v>
      </c>
    </row>
    <row r="456" spans="1:2" hidden="1" x14ac:dyDescent="0.25">
      <c r="A456" t="s">
        <v>75</v>
      </c>
      <c r="B456" t="s">
        <v>12</v>
      </c>
    </row>
    <row r="457" spans="1:2" hidden="1" x14ac:dyDescent="0.25">
      <c r="A457" t="s">
        <v>75</v>
      </c>
      <c r="B457" t="s">
        <v>13</v>
      </c>
    </row>
    <row r="458" spans="1:2" hidden="1" x14ac:dyDescent="0.25">
      <c r="A458" t="s">
        <v>75</v>
      </c>
      <c r="B458" t="s">
        <v>14</v>
      </c>
    </row>
    <row r="459" spans="1:2" hidden="1" x14ac:dyDescent="0.25">
      <c r="A459" t="s">
        <v>75</v>
      </c>
      <c r="B459" t="s">
        <v>15</v>
      </c>
    </row>
    <row r="460" spans="1:2" hidden="1" x14ac:dyDescent="0.25">
      <c r="A460" t="s">
        <v>75</v>
      </c>
      <c r="B460" t="s">
        <v>16</v>
      </c>
    </row>
    <row r="461" spans="1:2" hidden="1" x14ac:dyDescent="0.25">
      <c r="A461" t="s">
        <v>75</v>
      </c>
      <c r="B461" t="s">
        <v>17</v>
      </c>
    </row>
    <row r="462" spans="1:2" hidden="1" x14ac:dyDescent="0.25">
      <c r="A462" t="s">
        <v>75</v>
      </c>
      <c r="B462" t="s">
        <v>18</v>
      </c>
    </row>
    <row r="463" spans="1:2" hidden="1" x14ac:dyDescent="0.25">
      <c r="A463" t="s">
        <v>75</v>
      </c>
      <c r="B463" t="s">
        <v>19</v>
      </c>
    </row>
    <row r="464" spans="1:2" hidden="1" x14ac:dyDescent="0.25">
      <c r="A464" t="s">
        <v>76</v>
      </c>
      <c r="B464" t="s">
        <v>2</v>
      </c>
    </row>
    <row r="465" spans="1:4" hidden="1" x14ac:dyDescent="0.25">
      <c r="A465" t="s">
        <v>76</v>
      </c>
      <c r="B465" t="s">
        <v>51</v>
      </c>
    </row>
    <row r="466" spans="1:4" hidden="1" x14ac:dyDescent="0.25">
      <c r="A466" t="s">
        <v>76</v>
      </c>
      <c r="B466" t="s">
        <v>52</v>
      </c>
    </row>
    <row r="467" spans="1:4" hidden="1" x14ac:dyDescent="0.25">
      <c r="A467" t="s">
        <v>76</v>
      </c>
      <c r="B467" t="s">
        <v>53</v>
      </c>
    </row>
    <row r="468" spans="1:4" hidden="1" x14ac:dyDescent="0.25">
      <c r="A468" t="s">
        <v>76</v>
      </c>
      <c r="B468" t="s">
        <v>54</v>
      </c>
    </row>
    <row r="469" spans="1:4" hidden="1" x14ac:dyDescent="0.25">
      <c r="A469" t="s">
        <v>76</v>
      </c>
      <c r="B469" t="s">
        <v>3</v>
      </c>
      <c r="C469" s="2">
        <v>3</v>
      </c>
    </row>
    <row r="470" spans="1:4" hidden="1" x14ac:dyDescent="0.25">
      <c r="A470" t="s">
        <v>76</v>
      </c>
      <c r="B470" t="s">
        <v>4</v>
      </c>
      <c r="C470" s="2">
        <v>6.67</v>
      </c>
    </row>
    <row r="471" spans="1:4" hidden="1" x14ac:dyDescent="0.25">
      <c r="A471" t="s">
        <v>76</v>
      </c>
      <c r="B471" t="s">
        <v>5</v>
      </c>
      <c r="C471" s="2">
        <v>0.6</v>
      </c>
    </row>
    <row r="472" spans="1:4" hidden="1" x14ac:dyDescent="0.25">
      <c r="A472" t="s">
        <v>76</v>
      </c>
      <c r="B472" t="s">
        <v>6</v>
      </c>
      <c r="C472" s="2">
        <v>4</v>
      </c>
    </row>
    <row r="473" spans="1:4" hidden="1" x14ac:dyDescent="0.25">
      <c r="A473" t="s">
        <v>76</v>
      </c>
      <c r="B473" t="s">
        <v>7</v>
      </c>
      <c r="C473" s="2">
        <v>14.68</v>
      </c>
    </row>
    <row r="474" spans="1:4" hidden="1" x14ac:dyDescent="0.25">
      <c r="A474" t="s">
        <v>76</v>
      </c>
      <c r="B474" t="s">
        <v>8</v>
      </c>
      <c r="C474" s="2">
        <v>6.66</v>
      </c>
    </row>
    <row r="475" spans="1:4" hidden="1" x14ac:dyDescent="0.25">
      <c r="A475" t="s">
        <v>76</v>
      </c>
      <c r="B475" t="s">
        <v>9</v>
      </c>
      <c r="C475" s="2"/>
    </row>
    <row r="476" spans="1:4" hidden="1" x14ac:dyDescent="0.25">
      <c r="A476" t="s">
        <v>76</v>
      </c>
      <c r="B476" t="s">
        <v>10</v>
      </c>
      <c r="C476" s="2"/>
    </row>
    <row r="477" spans="1:4" hidden="1" x14ac:dyDescent="0.25">
      <c r="A477" t="s">
        <v>76</v>
      </c>
      <c r="B477" t="s">
        <v>11</v>
      </c>
      <c r="C477" s="2"/>
    </row>
    <row r="478" spans="1:4" hidden="1" x14ac:dyDescent="0.25">
      <c r="A478" t="s">
        <v>76</v>
      </c>
      <c r="B478" t="s">
        <v>12</v>
      </c>
      <c r="C478" s="2"/>
    </row>
    <row r="479" spans="1:4" hidden="1" x14ac:dyDescent="0.25">
      <c r="A479" t="s">
        <v>76</v>
      </c>
      <c r="B479" t="s">
        <v>13</v>
      </c>
      <c r="C479">
        <v>2.39</v>
      </c>
      <c r="D479" t="s">
        <v>22</v>
      </c>
    </row>
    <row r="480" spans="1:4" hidden="1" x14ac:dyDescent="0.25">
      <c r="A480" t="s">
        <v>76</v>
      </c>
      <c r="B480" t="s">
        <v>14</v>
      </c>
    </row>
    <row r="481" spans="1:2" hidden="1" x14ac:dyDescent="0.25">
      <c r="A481" t="s">
        <v>76</v>
      </c>
      <c r="B481" t="s">
        <v>15</v>
      </c>
    </row>
    <row r="482" spans="1:2" hidden="1" x14ac:dyDescent="0.25">
      <c r="A482" t="s">
        <v>76</v>
      </c>
      <c r="B482" t="s">
        <v>16</v>
      </c>
    </row>
    <row r="483" spans="1:2" hidden="1" x14ac:dyDescent="0.25">
      <c r="A483" t="s">
        <v>76</v>
      </c>
      <c r="B483" t="s">
        <v>17</v>
      </c>
    </row>
    <row r="484" spans="1:2" hidden="1" x14ac:dyDescent="0.25">
      <c r="A484" t="s">
        <v>76</v>
      </c>
      <c r="B484" t="s">
        <v>18</v>
      </c>
    </row>
    <row r="485" spans="1:2" hidden="1" x14ac:dyDescent="0.25">
      <c r="A485" t="s">
        <v>76</v>
      </c>
      <c r="B485" t="s">
        <v>19</v>
      </c>
    </row>
    <row r="486" spans="1:2" hidden="1" x14ac:dyDescent="0.25">
      <c r="A486" t="s">
        <v>77</v>
      </c>
      <c r="B486" t="s">
        <v>2</v>
      </c>
    </row>
    <row r="487" spans="1:2" hidden="1" x14ac:dyDescent="0.25">
      <c r="A487" t="s">
        <v>77</v>
      </c>
      <c r="B487" t="s">
        <v>51</v>
      </c>
    </row>
    <row r="488" spans="1:2" hidden="1" x14ac:dyDescent="0.25">
      <c r="A488" t="s">
        <v>77</v>
      </c>
      <c r="B488" t="s">
        <v>52</v>
      </c>
    </row>
    <row r="489" spans="1:2" hidden="1" x14ac:dyDescent="0.25">
      <c r="A489" t="s">
        <v>77</v>
      </c>
      <c r="B489" t="s">
        <v>53</v>
      </c>
    </row>
    <row r="490" spans="1:2" hidden="1" x14ac:dyDescent="0.25">
      <c r="A490" t="s">
        <v>77</v>
      </c>
      <c r="B490" t="s">
        <v>54</v>
      </c>
    </row>
    <row r="491" spans="1:2" hidden="1" x14ac:dyDescent="0.25">
      <c r="A491" t="s">
        <v>77</v>
      </c>
      <c r="B491" t="s">
        <v>3</v>
      </c>
    </row>
    <row r="492" spans="1:2" hidden="1" x14ac:dyDescent="0.25">
      <c r="A492" t="s">
        <v>77</v>
      </c>
      <c r="B492" t="s">
        <v>4</v>
      </c>
    </row>
    <row r="493" spans="1:2" hidden="1" x14ac:dyDescent="0.25">
      <c r="A493" t="s">
        <v>77</v>
      </c>
      <c r="B493" t="s">
        <v>5</v>
      </c>
    </row>
    <row r="494" spans="1:2" hidden="1" x14ac:dyDescent="0.25">
      <c r="A494" t="s">
        <v>77</v>
      </c>
      <c r="B494" t="s">
        <v>6</v>
      </c>
    </row>
    <row r="495" spans="1:2" hidden="1" x14ac:dyDescent="0.25">
      <c r="A495" t="s">
        <v>77</v>
      </c>
      <c r="B495" t="s">
        <v>7</v>
      </c>
    </row>
    <row r="496" spans="1:2" hidden="1" x14ac:dyDescent="0.25">
      <c r="A496" t="s">
        <v>77</v>
      </c>
      <c r="B496" t="s">
        <v>8</v>
      </c>
    </row>
    <row r="497" spans="1:2" hidden="1" x14ac:dyDescent="0.25">
      <c r="A497" t="s">
        <v>77</v>
      </c>
      <c r="B497" t="s">
        <v>9</v>
      </c>
    </row>
    <row r="498" spans="1:2" hidden="1" x14ac:dyDescent="0.25">
      <c r="A498" t="s">
        <v>77</v>
      </c>
      <c r="B498" t="s">
        <v>10</v>
      </c>
    </row>
    <row r="499" spans="1:2" hidden="1" x14ac:dyDescent="0.25">
      <c r="A499" t="s">
        <v>77</v>
      </c>
      <c r="B499" t="s">
        <v>11</v>
      </c>
    </row>
    <row r="500" spans="1:2" hidden="1" x14ac:dyDescent="0.25">
      <c r="A500" t="s">
        <v>77</v>
      </c>
      <c r="B500" t="s">
        <v>12</v>
      </c>
    </row>
    <row r="501" spans="1:2" hidden="1" x14ac:dyDescent="0.25">
      <c r="A501" t="s">
        <v>77</v>
      </c>
      <c r="B501" t="s">
        <v>13</v>
      </c>
    </row>
    <row r="502" spans="1:2" hidden="1" x14ac:dyDescent="0.25">
      <c r="A502" t="s">
        <v>77</v>
      </c>
      <c r="B502" t="s">
        <v>14</v>
      </c>
    </row>
    <row r="503" spans="1:2" hidden="1" x14ac:dyDescent="0.25">
      <c r="A503" t="s">
        <v>77</v>
      </c>
      <c r="B503" t="s">
        <v>15</v>
      </c>
    </row>
    <row r="504" spans="1:2" hidden="1" x14ac:dyDescent="0.25">
      <c r="A504" t="s">
        <v>77</v>
      </c>
      <c r="B504" t="s">
        <v>16</v>
      </c>
    </row>
    <row r="505" spans="1:2" hidden="1" x14ac:dyDescent="0.25">
      <c r="A505" t="s">
        <v>77</v>
      </c>
      <c r="B505" t="s">
        <v>17</v>
      </c>
    </row>
    <row r="506" spans="1:2" hidden="1" x14ac:dyDescent="0.25">
      <c r="A506" t="s">
        <v>77</v>
      </c>
      <c r="B506" t="s">
        <v>18</v>
      </c>
    </row>
    <row r="507" spans="1:2" hidden="1" x14ac:dyDescent="0.25">
      <c r="A507" t="s">
        <v>77</v>
      </c>
      <c r="B507" t="s">
        <v>19</v>
      </c>
    </row>
    <row r="508" spans="1:2" hidden="1" x14ac:dyDescent="0.25">
      <c r="A508" t="s">
        <v>78</v>
      </c>
      <c r="B508" t="s">
        <v>2</v>
      </c>
    </row>
    <row r="509" spans="1:2" hidden="1" x14ac:dyDescent="0.25">
      <c r="A509" t="s">
        <v>78</v>
      </c>
      <c r="B509" t="s">
        <v>51</v>
      </c>
    </row>
    <row r="510" spans="1:2" hidden="1" x14ac:dyDescent="0.25">
      <c r="A510" t="s">
        <v>78</v>
      </c>
      <c r="B510" t="s">
        <v>52</v>
      </c>
    </row>
    <row r="511" spans="1:2" hidden="1" x14ac:dyDescent="0.25">
      <c r="A511" t="s">
        <v>78</v>
      </c>
      <c r="B511" t="s">
        <v>53</v>
      </c>
    </row>
    <row r="512" spans="1:2" hidden="1" x14ac:dyDescent="0.25">
      <c r="A512" t="s">
        <v>78</v>
      </c>
      <c r="B512" t="s">
        <v>54</v>
      </c>
    </row>
    <row r="513" spans="1:2" hidden="1" x14ac:dyDescent="0.25">
      <c r="A513" t="s">
        <v>78</v>
      </c>
      <c r="B513" t="s">
        <v>3</v>
      </c>
    </row>
    <row r="514" spans="1:2" hidden="1" x14ac:dyDescent="0.25">
      <c r="A514" t="s">
        <v>78</v>
      </c>
      <c r="B514" t="s">
        <v>4</v>
      </c>
    </row>
    <row r="515" spans="1:2" hidden="1" x14ac:dyDescent="0.25">
      <c r="A515" t="s">
        <v>78</v>
      </c>
      <c r="B515" t="s">
        <v>5</v>
      </c>
    </row>
    <row r="516" spans="1:2" hidden="1" x14ac:dyDescent="0.25">
      <c r="A516" t="s">
        <v>78</v>
      </c>
      <c r="B516" t="s">
        <v>6</v>
      </c>
    </row>
    <row r="517" spans="1:2" hidden="1" x14ac:dyDescent="0.25">
      <c r="A517" t="s">
        <v>78</v>
      </c>
      <c r="B517" t="s">
        <v>7</v>
      </c>
    </row>
    <row r="518" spans="1:2" hidden="1" x14ac:dyDescent="0.25">
      <c r="A518" t="s">
        <v>78</v>
      </c>
      <c r="B518" t="s">
        <v>8</v>
      </c>
    </row>
    <row r="519" spans="1:2" hidden="1" x14ac:dyDescent="0.25">
      <c r="A519" t="s">
        <v>78</v>
      </c>
      <c r="B519" t="s">
        <v>9</v>
      </c>
    </row>
    <row r="520" spans="1:2" hidden="1" x14ac:dyDescent="0.25">
      <c r="A520" t="s">
        <v>78</v>
      </c>
      <c r="B520" t="s">
        <v>10</v>
      </c>
    </row>
    <row r="521" spans="1:2" hidden="1" x14ac:dyDescent="0.25">
      <c r="A521" t="s">
        <v>78</v>
      </c>
      <c r="B521" t="s">
        <v>11</v>
      </c>
    </row>
    <row r="522" spans="1:2" hidden="1" x14ac:dyDescent="0.25">
      <c r="A522" t="s">
        <v>78</v>
      </c>
      <c r="B522" t="s">
        <v>12</v>
      </c>
    </row>
    <row r="523" spans="1:2" hidden="1" x14ac:dyDescent="0.25">
      <c r="A523" t="s">
        <v>78</v>
      </c>
      <c r="B523" t="s">
        <v>13</v>
      </c>
    </row>
    <row r="524" spans="1:2" hidden="1" x14ac:dyDescent="0.25">
      <c r="A524" t="s">
        <v>78</v>
      </c>
      <c r="B524" t="s">
        <v>14</v>
      </c>
    </row>
    <row r="525" spans="1:2" hidden="1" x14ac:dyDescent="0.25">
      <c r="A525" t="s">
        <v>78</v>
      </c>
      <c r="B525" t="s">
        <v>15</v>
      </c>
    </row>
    <row r="526" spans="1:2" hidden="1" x14ac:dyDescent="0.25">
      <c r="A526" t="s">
        <v>78</v>
      </c>
      <c r="B526" t="s">
        <v>16</v>
      </c>
    </row>
    <row r="527" spans="1:2" hidden="1" x14ac:dyDescent="0.25">
      <c r="A527" t="s">
        <v>78</v>
      </c>
      <c r="B527" t="s">
        <v>17</v>
      </c>
    </row>
    <row r="528" spans="1:2" hidden="1" x14ac:dyDescent="0.25">
      <c r="A528" t="s">
        <v>78</v>
      </c>
      <c r="B528" t="s">
        <v>18</v>
      </c>
    </row>
    <row r="529" spans="1:3" hidden="1" x14ac:dyDescent="0.25">
      <c r="A529" t="s">
        <v>78</v>
      </c>
      <c r="B529" t="s">
        <v>19</v>
      </c>
    </row>
    <row r="530" spans="1:3" hidden="1" x14ac:dyDescent="0.25">
      <c r="A530" t="s">
        <v>79</v>
      </c>
      <c r="B530" t="s">
        <v>2</v>
      </c>
    </row>
    <row r="531" spans="1:3" hidden="1" x14ac:dyDescent="0.25">
      <c r="A531" t="s">
        <v>79</v>
      </c>
      <c r="B531" t="s">
        <v>51</v>
      </c>
    </row>
    <row r="532" spans="1:3" hidden="1" x14ac:dyDescent="0.25">
      <c r="A532" t="s">
        <v>79</v>
      </c>
      <c r="B532" t="s">
        <v>52</v>
      </c>
    </row>
    <row r="533" spans="1:3" hidden="1" x14ac:dyDescent="0.25">
      <c r="A533" t="s">
        <v>79</v>
      </c>
      <c r="B533" t="s">
        <v>53</v>
      </c>
    </row>
    <row r="534" spans="1:3" hidden="1" x14ac:dyDescent="0.25">
      <c r="A534" t="s">
        <v>79</v>
      </c>
      <c r="B534" t="s">
        <v>54</v>
      </c>
    </row>
    <row r="535" spans="1:3" hidden="1" x14ac:dyDescent="0.25">
      <c r="A535" t="s">
        <v>79</v>
      </c>
      <c r="B535" t="s">
        <v>3</v>
      </c>
    </row>
    <row r="536" spans="1:3" hidden="1" x14ac:dyDescent="0.25">
      <c r="A536" t="s">
        <v>79</v>
      </c>
      <c r="B536" t="s">
        <v>4</v>
      </c>
    </row>
    <row r="537" spans="1:3" hidden="1" x14ac:dyDescent="0.25">
      <c r="A537" t="s">
        <v>79</v>
      </c>
      <c r="B537" t="s">
        <v>5</v>
      </c>
      <c r="C537">
        <f>1.76*293.07107/1000</f>
        <v>0.51580508319999996</v>
      </c>
    </row>
    <row r="538" spans="1:3" hidden="1" x14ac:dyDescent="0.25">
      <c r="A538" t="s">
        <v>79</v>
      </c>
      <c r="B538" t="s">
        <v>6</v>
      </c>
      <c r="C538">
        <f>0.79*293.07107/1000</f>
        <v>0.23152614530000001</v>
      </c>
    </row>
    <row r="539" spans="1:3" hidden="1" x14ac:dyDescent="0.25">
      <c r="A539" t="s">
        <v>79</v>
      </c>
      <c r="B539" t="s">
        <v>7</v>
      </c>
      <c r="C539">
        <f>3.76*293.07107/1000</f>
        <v>1.1019472232</v>
      </c>
    </row>
    <row r="540" spans="1:3" hidden="1" x14ac:dyDescent="0.25">
      <c r="A540" t="s">
        <v>79</v>
      </c>
      <c r="B540" t="s">
        <v>8</v>
      </c>
    </row>
    <row r="541" spans="1:3" hidden="1" x14ac:dyDescent="0.25">
      <c r="A541" t="s">
        <v>79</v>
      </c>
      <c r="B541" t="s">
        <v>9</v>
      </c>
    </row>
    <row r="542" spans="1:3" hidden="1" x14ac:dyDescent="0.25">
      <c r="A542" t="s">
        <v>79</v>
      </c>
      <c r="B542" t="s">
        <v>10</v>
      </c>
    </row>
    <row r="543" spans="1:3" hidden="1" x14ac:dyDescent="0.25">
      <c r="A543" t="s">
        <v>79</v>
      </c>
      <c r="B543" t="s">
        <v>11</v>
      </c>
    </row>
    <row r="544" spans="1:3" hidden="1" x14ac:dyDescent="0.25">
      <c r="A544" t="s">
        <v>79</v>
      </c>
      <c r="B544" t="s">
        <v>12</v>
      </c>
    </row>
    <row r="545" spans="1:4" hidden="1" x14ac:dyDescent="0.25">
      <c r="A545" t="s">
        <v>79</v>
      </c>
      <c r="B545" t="s">
        <v>13</v>
      </c>
    </row>
    <row r="546" spans="1:4" hidden="1" x14ac:dyDescent="0.25">
      <c r="A546" t="s">
        <v>79</v>
      </c>
      <c r="B546" t="s">
        <v>14</v>
      </c>
    </row>
    <row r="547" spans="1:4" hidden="1" x14ac:dyDescent="0.25">
      <c r="A547" t="s">
        <v>79</v>
      </c>
      <c r="B547" t="s">
        <v>15</v>
      </c>
    </row>
    <row r="548" spans="1:4" hidden="1" x14ac:dyDescent="0.25">
      <c r="A548" t="s">
        <v>79</v>
      </c>
      <c r="B548" t="s">
        <v>16</v>
      </c>
    </row>
    <row r="549" spans="1:4" hidden="1" x14ac:dyDescent="0.25">
      <c r="A549" t="s">
        <v>79</v>
      </c>
      <c r="B549" t="s">
        <v>17</v>
      </c>
    </row>
    <row r="550" spans="1:4" hidden="1" x14ac:dyDescent="0.25">
      <c r="A550" t="s">
        <v>79</v>
      </c>
      <c r="B550" t="s">
        <v>18</v>
      </c>
    </row>
    <row r="551" spans="1:4" hidden="1" x14ac:dyDescent="0.25">
      <c r="A551" t="s">
        <v>79</v>
      </c>
      <c r="B551" t="s">
        <v>19</v>
      </c>
    </row>
    <row r="552" spans="1:4" hidden="1" x14ac:dyDescent="0.25">
      <c r="A552" t="s">
        <v>80</v>
      </c>
      <c r="B552" t="s">
        <v>3</v>
      </c>
      <c r="C552">
        <f>0.0244+0.0035</f>
        <v>2.7900000000000001E-2</v>
      </c>
    </row>
    <row r="553" spans="1:4" hidden="1" x14ac:dyDescent="0.25">
      <c r="A553" t="s">
        <v>80</v>
      </c>
      <c r="B553" t="s">
        <v>4</v>
      </c>
      <c r="C553">
        <f>0.0298+0.0031</f>
        <v>3.2899999999999999E-2</v>
      </c>
    </row>
    <row r="554" spans="1:4" hidden="1" x14ac:dyDescent="0.25">
      <c r="A554" t="s">
        <v>80</v>
      </c>
      <c r="B554" t="s">
        <v>5</v>
      </c>
      <c r="C554">
        <f>0.0313+0.0313</f>
        <v>6.2600000000000003E-2</v>
      </c>
    </row>
    <row r="555" spans="1:4" hidden="1" x14ac:dyDescent="0.25">
      <c r="A555" t="s">
        <v>80</v>
      </c>
      <c r="B555" t="s">
        <v>6</v>
      </c>
      <c r="C555">
        <v>0.02</v>
      </c>
    </row>
    <row r="556" spans="1:4" hidden="1" x14ac:dyDescent="0.25">
      <c r="A556" t="s">
        <v>80</v>
      </c>
      <c r="B556" t="s">
        <v>7</v>
      </c>
      <c r="C556">
        <f>0.021+0.0034+0</f>
        <v>2.4400000000000002E-2</v>
      </c>
    </row>
    <row r="557" spans="1:4" hidden="1" x14ac:dyDescent="0.25">
      <c r="A557" t="s">
        <v>80</v>
      </c>
      <c r="B557" t="s">
        <v>8</v>
      </c>
      <c r="C557">
        <f>0.054+0.006</f>
        <v>0.06</v>
      </c>
    </row>
    <row r="558" spans="1:4" x14ac:dyDescent="0.25">
      <c r="A558" t="s">
        <v>59</v>
      </c>
      <c r="B558" t="s">
        <v>107</v>
      </c>
      <c r="C558">
        <v>-1.5126999999999999</v>
      </c>
      <c r="D558" t="s">
        <v>21</v>
      </c>
    </row>
    <row r="559" spans="1:4" x14ac:dyDescent="0.25">
      <c r="A559" t="s">
        <v>72</v>
      </c>
      <c r="B559" t="s">
        <v>107</v>
      </c>
      <c r="C559">
        <v>2.4170000000000001E-2</v>
      </c>
      <c r="D559" t="s">
        <v>21</v>
      </c>
    </row>
    <row r="560" spans="1:4" x14ac:dyDescent="0.25">
      <c r="A560" t="s">
        <v>75</v>
      </c>
      <c r="B560" t="s">
        <v>107</v>
      </c>
      <c r="C560">
        <v>0.34939999999999999</v>
      </c>
      <c r="D560" t="s">
        <v>21</v>
      </c>
    </row>
    <row r="561" spans="1:4" x14ac:dyDescent="0.25">
      <c r="A561" t="s">
        <v>76</v>
      </c>
      <c r="B561" t="s">
        <v>107</v>
      </c>
      <c r="C561">
        <v>0.39989999999999998</v>
      </c>
      <c r="D561" t="s">
        <v>21</v>
      </c>
    </row>
    <row r="562" spans="1:4" x14ac:dyDescent="0.25">
      <c r="A562" t="s">
        <v>77</v>
      </c>
      <c r="B562" t="s">
        <v>107</v>
      </c>
      <c r="C562">
        <v>2.9940000000000001E-2</v>
      </c>
      <c r="D562" t="s">
        <v>21</v>
      </c>
    </row>
    <row r="563" spans="1:4" x14ac:dyDescent="0.25">
      <c r="A563" t="s">
        <v>78</v>
      </c>
      <c r="B563" t="s">
        <v>107</v>
      </c>
      <c r="C563">
        <v>3.8099999999999998E-5</v>
      </c>
      <c r="D563" t="s">
        <v>21</v>
      </c>
    </row>
    <row r="564" spans="1:4" hidden="1" x14ac:dyDescent="0.25">
      <c r="A564" t="s">
        <v>66</v>
      </c>
      <c r="B564" t="s">
        <v>108</v>
      </c>
      <c r="C564">
        <v>3.6220000000000002E-2</v>
      </c>
      <c r="D564" t="s">
        <v>21</v>
      </c>
    </row>
    <row r="565" spans="1:4" hidden="1" x14ac:dyDescent="0.25">
      <c r="A565" t="s">
        <v>56</v>
      </c>
      <c r="B565" t="s">
        <v>108</v>
      </c>
      <c r="C565">
        <v>7.1479999999999998E-3</v>
      </c>
      <c r="D565" t="s">
        <v>21</v>
      </c>
    </row>
    <row r="566" spans="1:4" hidden="1" x14ac:dyDescent="0.25">
      <c r="A566" t="s">
        <v>70</v>
      </c>
      <c r="B566" t="s">
        <v>108</v>
      </c>
      <c r="C566">
        <v>4.0210000000000003E-3</v>
      </c>
      <c r="D566" t="s">
        <v>21</v>
      </c>
    </row>
    <row r="567" spans="1:4" hidden="1" x14ac:dyDescent="0.25">
      <c r="A567" t="s">
        <v>59</v>
      </c>
      <c r="B567" t="s">
        <v>108</v>
      </c>
      <c r="C567">
        <v>1.7860000000000001E-2</v>
      </c>
      <c r="D567" t="s">
        <v>21</v>
      </c>
    </row>
    <row r="568" spans="1:4" hidden="1" x14ac:dyDescent="0.25">
      <c r="A568" t="s">
        <v>76</v>
      </c>
      <c r="B568" t="s">
        <v>108</v>
      </c>
      <c r="C568">
        <v>1.69</v>
      </c>
      <c r="D568" t="s">
        <v>21</v>
      </c>
    </row>
    <row r="569" spans="1:4" hidden="1" x14ac:dyDescent="0.25">
      <c r="A569" t="s">
        <v>72</v>
      </c>
      <c r="B569" t="s">
        <v>108</v>
      </c>
      <c r="C569">
        <v>-0.69940000000000002</v>
      </c>
      <c r="D569" t="s">
        <v>21</v>
      </c>
    </row>
    <row r="570" spans="1:4" hidden="1" x14ac:dyDescent="0.25">
      <c r="A570" t="s">
        <v>64</v>
      </c>
      <c r="B570" t="s">
        <v>108</v>
      </c>
      <c r="C570">
        <v>0</v>
      </c>
      <c r="D570" t="s">
        <v>21</v>
      </c>
    </row>
    <row r="571" spans="1:4" hidden="1" x14ac:dyDescent="0.25">
      <c r="A571" t="s">
        <v>66</v>
      </c>
      <c r="B571" t="s">
        <v>109</v>
      </c>
      <c r="C571">
        <v>3.5839999999999997E-2</v>
      </c>
      <c r="D571" t="s">
        <v>21</v>
      </c>
    </row>
    <row r="572" spans="1:4" hidden="1" x14ac:dyDescent="0.25">
      <c r="A572" t="s">
        <v>56</v>
      </c>
      <c r="B572" t="s">
        <v>109</v>
      </c>
      <c r="C572">
        <v>7.1770000000000002E-3</v>
      </c>
      <c r="D572" t="s">
        <v>21</v>
      </c>
    </row>
    <row r="573" spans="1:4" hidden="1" x14ac:dyDescent="0.25">
      <c r="A573" t="s">
        <v>70</v>
      </c>
      <c r="B573" t="s">
        <v>109</v>
      </c>
      <c r="C573">
        <v>0</v>
      </c>
      <c r="D573" t="s">
        <v>21</v>
      </c>
    </row>
    <row r="574" spans="1:4" hidden="1" x14ac:dyDescent="0.25">
      <c r="A574" t="s">
        <v>59</v>
      </c>
      <c r="B574" t="s">
        <v>109</v>
      </c>
      <c r="C574">
        <v>2.2822</v>
      </c>
      <c r="D574" t="s">
        <v>21</v>
      </c>
    </row>
    <row r="575" spans="1:4" hidden="1" x14ac:dyDescent="0.25">
      <c r="A575" t="s">
        <v>76</v>
      </c>
      <c r="B575" t="s">
        <v>109</v>
      </c>
      <c r="C575">
        <v>2.0276000000000001</v>
      </c>
      <c r="D575" t="s">
        <v>21</v>
      </c>
    </row>
    <row r="576" spans="1:4" hidden="1" x14ac:dyDescent="0.25">
      <c r="A576" t="s">
        <v>72</v>
      </c>
      <c r="B576" t="s">
        <v>109</v>
      </c>
      <c r="C576">
        <v>-2.1486999999999998</v>
      </c>
      <c r="D576" t="s">
        <v>21</v>
      </c>
    </row>
    <row r="577" spans="1:4" hidden="1" x14ac:dyDescent="0.25">
      <c r="A577" t="s">
        <v>64</v>
      </c>
      <c r="B577" t="s">
        <v>109</v>
      </c>
      <c r="C577">
        <v>-0.40479999999999999</v>
      </c>
      <c r="D577" t="s">
        <v>21</v>
      </c>
    </row>
  </sheetData>
  <autoFilter ref="A1:D577" xr:uid="{00000000-0001-0000-0200-000000000000}">
    <filterColumn colId="1">
      <filters>
        <filter val="Lignin Recovery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topLeftCell="A61" workbookViewId="0">
      <selection activeCell="E39" sqref="E39"/>
    </sheetView>
  </sheetViews>
  <sheetFormatPr defaultRowHeight="15" x14ac:dyDescent="0.25"/>
  <sheetData>
    <row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t="s">
        <v>25</v>
      </c>
      <c r="B2" t="s">
        <v>2</v>
      </c>
    </row>
    <row r="3" spans="1:3" x14ac:dyDescent="0.25">
      <c r="A3" t="s">
        <v>25</v>
      </c>
      <c r="B3" t="s">
        <v>51</v>
      </c>
    </row>
    <row r="4" spans="1:3" x14ac:dyDescent="0.25">
      <c r="A4" t="s">
        <v>25</v>
      </c>
      <c r="B4" t="s">
        <v>52</v>
      </c>
    </row>
    <row r="5" spans="1:3" x14ac:dyDescent="0.25">
      <c r="A5" t="s">
        <v>25</v>
      </c>
      <c r="B5" t="s">
        <v>53</v>
      </c>
    </row>
    <row r="6" spans="1:3" x14ac:dyDescent="0.25">
      <c r="A6" t="s">
        <v>25</v>
      </c>
      <c r="B6" t="s">
        <v>54</v>
      </c>
    </row>
    <row r="7" spans="1:3" x14ac:dyDescent="0.25">
      <c r="A7" t="s">
        <v>25</v>
      </c>
      <c r="B7" t="s">
        <v>3</v>
      </c>
    </row>
    <row r="8" spans="1:3" x14ac:dyDescent="0.25">
      <c r="A8" t="s">
        <v>25</v>
      </c>
      <c r="B8" t="s">
        <v>4</v>
      </c>
    </row>
    <row r="9" spans="1:3" x14ac:dyDescent="0.25">
      <c r="A9" t="s">
        <v>25</v>
      </c>
      <c r="B9" t="s">
        <v>5</v>
      </c>
    </row>
    <row r="10" spans="1:3" x14ac:dyDescent="0.25">
      <c r="A10" t="s">
        <v>25</v>
      </c>
      <c r="B10" t="s">
        <v>6</v>
      </c>
    </row>
    <row r="11" spans="1:3" x14ac:dyDescent="0.25">
      <c r="A11" t="s">
        <v>25</v>
      </c>
      <c r="B11" t="s">
        <v>7</v>
      </c>
    </row>
    <row r="12" spans="1:3" x14ac:dyDescent="0.25">
      <c r="A12" t="s">
        <v>25</v>
      </c>
      <c r="B12" t="s">
        <v>8</v>
      </c>
    </row>
    <row r="13" spans="1:3" x14ac:dyDescent="0.25">
      <c r="A13" t="s">
        <v>25</v>
      </c>
      <c r="B13" t="s">
        <v>9</v>
      </c>
    </row>
    <row r="14" spans="1:3" x14ac:dyDescent="0.25">
      <c r="A14" t="s">
        <v>25</v>
      </c>
      <c r="B14" t="s">
        <v>10</v>
      </c>
    </row>
    <row r="15" spans="1:3" x14ac:dyDescent="0.25">
      <c r="A15" t="s">
        <v>25</v>
      </c>
      <c r="B15" t="s">
        <v>11</v>
      </c>
    </row>
    <row r="16" spans="1:3" x14ac:dyDescent="0.25">
      <c r="A16" t="s">
        <v>25</v>
      </c>
      <c r="B16" t="s">
        <v>12</v>
      </c>
    </row>
    <row r="17" spans="1:3" x14ac:dyDescent="0.25">
      <c r="A17" t="s">
        <v>25</v>
      </c>
      <c r="B17" t="s">
        <v>13</v>
      </c>
    </row>
    <row r="18" spans="1:3" x14ac:dyDescent="0.25">
      <c r="A18" t="s">
        <v>25</v>
      </c>
      <c r="B18" t="s">
        <v>14</v>
      </c>
    </row>
    <row r="19" spans="1:3" x14ac:dyDescent="0.25">
      <c r="A19" t="s">
        <v>25</v>
      </c>
      <c r="B19" t="s">
        <v>15</v>
      </c>
    </row>
    <row r="20" spans="1:3" x14ac:dyDescent="0.25">
      <c r="A20" t="s">
        <v>25</v>
      </c>
      <c r="B20" t="s">
        <v>16</v>
      </c>
    </row>
    <row r="21" spans="1:3" x14ac:dyDescent="0.25">
      <c r="A21" t="s">
        <v>25</v>
      </c>
      <c r="B21" t="s">
        <v>17</v>
      </c>
    </row>
    <row r="22" spans="1:3" x14ac:dyDescent="0.25">
      <c r="A22" t="s">
        <v>25</v>
      </c>
      <c r="B22" t="s">
        <v>18</v>
      </c>
    </row>
    <row r="23" spans="1:3" x14ac:dyDescent="0.25">
      <c r="A23" t="s">
        <v>25</v>
      </c>
      <c r="B23" t="s">
        <v>19</v>
      </c>
    </row>
    <row r="24" spans="1:3" x14ac:dyDescent="0.25">
      <c r="A24" t="s">
        <v>81</v>
      </c>
      <c r="B24" t="s">
        <v>2</v>
      </c>
    </row>
    <row r="25" spans="1:3" x14ac:dyDescent="0.25">
      <c r="A25" t="s">
        <v>81</v>
      </c>
      <c r="B25" t="s">
        <v>51</v>
      </c>
    </row>
    <row r="26" spans="1:3" x14ac:dyDescent="0.25">
      <c r="A26" t="s">
        <v>81</v>
      </c>
      <c r="B26" t="s">
        <v>52</v>
      </c>
    </row>
    <row r="27" spans="1:3" x14ac:dyDescent="0.25">
      <c r="A27" t="s">
        <v>81</v>
      </c>
      <c r="B27" t="s">
        <v>53</v>
      </c>
    </row>
    <row r="28" spans="1:3" x14ac:dyDescent="0.25">
      <c r="A28" t="s">
        <v>81</v>
      </c>
      <c r="B28" t="s">
        <v>54</v>
      </c>
    </row>
    <row r="29" spans="1:3" x14ac:dyDescent="0.25">
      <c r="A29" t="s">
        <v>81</v>
      </c>
      <c r="B29" t="s">
        <v>3</v>
      </c>
    </row>
    <row r="30" spans="1:3" x14ac:dyDescent="0.25">
      <c r="A30" t="s">
        <v>81</v>
      </c>
      <c r="B30" t="s">
        <v>4</v>
      </c>
      <c r="C30" s="2">
        <v>4.7999999999999996E-3</v>
      </c>
    </row>
    <row r="31" spans="1:3" x14ac:dyDescent="0.25">
      <c r="A31" t="s">
        <v>81</v>
      </c>
      <c r="B31" t="s">
        <v>5</v>
      </c>
    </row>
    <row r="32" spans="1:3" x14ac:dyDescent="0.25">
      <c r="A32" t="s">
        <v>81</v>
      </c>
      <c r="B32" t="s">
        <v>6</v>
      </c>
      <c r="C32" s="2">
        <v>1E-3</v>
      </c>
    </row>
    <row r="33" spans="1:2" x14ac:dyDescent="0.25">
      <c r="A33" t="s">
        <v>81</v>
      </c>
      <c r="B33" t="s">
        <v>7</v>
      </c>
    </row>
    <row r="34" spans="1:2" x14ac:dyDescent="0.25">
      <c r="A34" t="s">
        <v>81</v>
      </c>
      <c r="B34" t="s">
        <v>8</v>
      </c>
    </row>
    <row r="35" spans="1:2" x14ac:dyDescent="0.25">
      <c r="A35" t="s">
        <v>81</v>
      </c>
      <c r="B35" t="s">
        <v>9</v>
      </c>
    </row>
    <row r="36" spans="1:2" x14ac:dyDescent="0.25">
      <c r="A36" t="s">
        <v>81</v>
      </c>
      <c r="B36" t="s">
        <v>10</v>
      </c>
    </row>
    <row r="37" spans="1:2" x14ac:dyDescent="0.25">
      <c r="A37" t="s">
        <v>81</v>
      </c>
      <c r="B37" t="s">
        <v>11</v>
      </c>
    </row>
    <row r="38" spans="1:2" x14ac:dyDescent="0.25">
      <c r="A38" t="s">
        <v>81</v>
      </c>
      <c r="B38" t="s">
        <v>12</v>
      </c>
    </row>
    <row r="39" spans="1:2" x14ac:dyDescent="0.25">
      <c r="A39" t="s">
        <v>81</v>
      </c>
      <c r="B39" t="s">
        <v>13</v>
      </c>
    </row>
    <row r="40" spans="1:2" x14ac:dyDescent="0.25">
      <c r="A40" t="s">
        <v>81</v>
      </c>
      <c r="B40" t="s">
        <v>14</v>
      </c>
    </row>
    <row r="41" spans="1:2" x14ac:dyDescent="0.25">
      <c r="A41" t="s">
        <v>81</v>
      </c>
      <c r="B41" t="s">
        <v>15</v>
      </c>
    </row>
    <row r="42" spans="1:2" x14ac:dyDescent="0.25">
      <c r="A42" t="s">
        <v>81</v>
      </c>
      <c r="B42" t="s">
        <v>16</v>
      </c>
    </row>
    <row r="43" spans="1:2" x14ac:dyDescent="0.25">
      <c r="A43" t="s">
        <v>81</v>
      </c>
      <c r="B43" t="s">
        <v>17</v>
      </c>
    </row>
    <row r="44" spans="1:2" x14ac:dyDescent="0.25">
      <c r="A44" t="s">
        <v>81</v>
      </c>
      <c r="B44" t="s">
        <v>18</v>
      </c>
    </row>
    <row r="45" spans="1:2" x14ac:dyDescent="0.25">
      <c r="A45" t="s">
        <v>81</v>
      </c>
      <c r="B45" t="s">
        <v>19</v>
      </c>
    </row>
    <row r="46" spans="1:2" x14ac:dyDescent="0.25">
      <c r="A46" t="s">
        <v>82</v>
      </c>
      <c r="B46" t="s">
        <v>2</v>
      </c>
    </row>
    <row r="47" spans="1:2" x14ac:dyDescent="0.25">
      <c r="A47" t="s">
        <v>82</v>
      </c>
      <c r="B47" t="s">
        <v>51</v>
      </c>
    </row>
    <row r="48" spans="1:2" x14ac:dyDescent="0.25">
      <c r="A48" t="s">
        <v>82</v>
      </c>
      <c r="B48" t="s">
        <v>52</v>
      </c>
    </row>
    <row r="49" spans="1:3" x14ac:dyDescent="0.25">
      <c r="A49" t="s">
        <v>82</v>
      </c>
      <c r="B49" t="s">
        <v>53</v>
      </c>
    </row>
    <row r="50" spans="1:3" x14ac:dyDescent="0.25">
      <c r="A50" t="s">
        <v>82</v>
      </c>
      <c r="B50" t="s">
        <v>54</v>
      </c>
    </row>
    <row r="51" spans="1:3" x14ac:dyDescent="0.25">
      <c r="A51" t="s">
        <v>82</v>
      </c>
      <c r="B51" t="s">
        <v>3</v>
      </c>
    </row>
    <row r="52" spans="1:3" x14ac:dyDescent="0.25">
      <c r="A52" t="s">
        <v>82</v>
      </c>
      <c r="B52" t="s">
        <v>4</v>
      </c>
      <c r="C52" s="2">
        <v>4.7000000000000002E-3</v>
      </c>
    </row>
    <row r="53" spans="1:3" x14ac:dyDescent="0.25">
      <c r="A53" t="s">
        <v>82</v>
      </c>
      <c r="B53" t="s">
        <v>5</v>
      </c>
    </row>
    <row r="54" spans="1:3" x14ac:dyDescent="0.25">
      <c r="A54" t="s">
        <v>82</v>
      </c>
      <c r="B54" t="s">
        <v>6</v>
      </c>
      <c r="C54" s="2">
        <v>4.0000000000000001E-3</v>
      </c>
    </row>
    <row r="55" spans="1:3" x14ac:dyDescent="0.25">
      <c r="A55" t="s">
        <v>82</v>
      </c>
      <c r="B55" t="s">
        <v>7</v>
      </c>
    </row>
    <row r="56" spans="1:3" x14ac:dyDescent="0.25">
      <c r="A56" t="s">
        <v>82</v>
      </c>
      <c r="B56" t="s">
        <v>8</v>
      </c>
    </row>
    <row r="57" spans="1:3" x14ac:dyDescent="0.25">
      <c r="A57" t="s">
        <v>82</v>
      </c>
      <c r="B57" t="s">
        <v>9</v>
      </c>
    </row>
    <row r="58" spans="1:3" x14ac:dyDescent="0.25">
      <c r="A58" t="s">
        <v>82</v>
      </c>
      <c r="B58" t="s">
        <v>10</v>
      </c>
    </row>
    <row r="59" spans="1:3" x14ac:dyDescent="0.25">
      <c r="A59" t="s">
        <v>82</v>
      </c>
      <c r="B59" t="s">
        <v>11</v>
      </c>
    </row>
    <row r="60" spans="1:3" x14ac:dyDescent="0.25">
      <c r="A60" t="s">
        <v>82</v>
      </c>
      <c r="B60" t="s">
        <v>12</v>
      </c>
    </row>
    <row r="61" spans="1:3" x14ac:dyDescent="0.25">
      <c r="A61" t="s">
        <v>82</v>
      </c>
      <c r="B61" t="s">
        <v>13</v>
      </c>
    </row>
    <row r="62" spans="1:3" x14ac:dyDescent="0.25">
      <c r="A62" t="s">
        <v>82</v>
      </c>
      <c r="B62" t="s">
        <v>14</v>
      </c>
    </row>
    <row r="63" spans="1:3" x14ac:dyDescent="0.25">
      <c r="A63" t="s">
        <v>82</v>
      </c>
      <c r="B63" t="s">
        <v>15</v>
      </c>
    </row>
    <row r="64" spans="1:3" x14ac:dyDescent="0.25">
      <c r="A64" t="s">
        <v>82</v>
      </c>
      <c r="B64" t="s">
        <v>16</v>
      </c>
    </row>
    <row r="65" spans="1:3" x14ac:dyDescent="0.25">
      <c r="A65" t="s">
        <v>82</v>
      </c>
      <c r="B65" t="s">
        <v>17</v>
      </c>
    </row>
    <row r="66" spans="1:3" x14ac:dyDescent="0.25">
      <c r="A66" t="s">
        <v>82</v>
      </c>
      <c r="B66" t="s">
        <v>18</v>
      </c>
    </row>
    <row r="67" spans="1:3" x14ac:dyDescent="0.25">
      <c r="A67" t="s">
        <v>82</v>
      </c>
      <c r="B67" t="s">
        <v>19</v>
      </c>
    </row>
    <row r="68" spans="1:3" x14ac:dyDescent="0.25">
      <c r="A68" t="s">
        <v>83</v>
      </c>
      <c r="B68" t="s">
        <v>2</v>
      </c>
    </row>
    <row r="69" spans="1:3" x14ac:dyDescent="0.25">
      <c r="A69" t="s">
        <v>83</v>
      </c>
      <c r="B69" t="s">
        <v>51</v>
      </c>
    </row>
    <row r="70" spans="1:3" x14ac:dyDescent="0.25">
      <c r="A70" t="s">
        <v>83</v>
      </c>
      <c r="B70" t="s">
        <v>52</v>
      </c>
    </row>
    <row r="71" spans="1:3" x14ac:dyDescent="0.25">
      <c r="A71" t="s">
        <v>83</v>
      </c>
      <c r="B71" t="s">
        <v>53</v>
      </c>
    </row>
    <row r="72" spans="1:3" x14ac:dyDescent="0.25">
      <c r="A72" t="s">
        <v>83</v>
      </c>
      <c r="B72" t="s">
        <v>54</v>
      </c>
    </row>
    <row r="73" spans="1:3" x14ac:dyDescent="0.25">
      <c r="A73" t="s">
        <v>83</v>
      </c>
      <c r="B73" t="s">
        <v>3</v>
      </c>
      <c r="C73" s="2">
        <v>1.7999999999999999E-2</v>
      </c>
    </row>
    <row r="74" spans="1:3" x14ac:dyDescent="0.25">
      <c r="A74" t="s">
        <v>83</v>
      </c>
      <c r="B74" t="s">
        <v>4</v>
      </c>
      <c r="C74" s="2">
        <v>1.61E-2</v>
      </c>
    </row>
    <row r="75" spans="1:3" x14ac:dyDescent="0.25">
      <c r="A75" t="s">
        <v>83</v>
      </c>
      <c r="B75" t="s">
        <v>5</v>
      </c>
    </row>
    <row r="76" spans="1:3" x14ac:dyDescent="0.25">
      <c r="A76" t="s">
        <v>83</v>
      </c>
      <c r="B76" t="s">
        <v>6</v>
      </c>
      <c r="C76" s="2">
        <v>1.7000000000000001E-2</v>
      </c>
    </row>
    <row r="77" spans="1:3" x14ac:dyDescent="0.25">
      <c r="A77" t="s">
        <v>83</v>
      </c>
      <c r="B77" t="s">
        <v>7</v>
      </c>
    </row>
    <row r="78" spans="1:3" x14ac:dyDescent="0.25">
      <c r="A78" t="s">
        <v>83</v>
      </c>
      <c r="B78" t="s">
        <v>8</v>
      </c>
    </row>
    <row r="79" spans="1:3" x14ac:dyDescent="0.25">
      <c r="A79" t="s">
        <v>83</v>
      </c>
      <c r="B79" t="s">
        <v>9</v>
      </c>
    </row>
    <row r="80" spans="1:3" x14ac:dyDescent="0.25">
      <c r="A80" t="s">
        <v>83</v>
      </c>
      <c r="B80" t="s">
        <v>10</v>
      </c>
    </row>
    <row r="81" spans="1:2" x14ac:dyDescent="0.25">
      <c r="A81" t="s">
        <v>83</v>
      </c>
      <c r="B81" t="s">
        <v>11</v>
      </c>
    </row>
    <row r="82" spans="1:2" x14ac:dyDescent="0.25">
      <c r="A82" t="s">
        <v>83</v>
      </c>
      <c r="B82" t="s">
        <v>12</v>
      </c>
    </row>
    <row r="83" spans="1:2" x14ac:dyDescent="0.25">
      <c r="A83" t="s">
        <v>83</v>
      </c>
      <c r="B83" t="s">
        <v>13</v>
      </c>
    </row>
    <row r="84" spans="1:2" x14ac:dyDescent="0.25">
      <c r="A84" t="s">
        <v>83</v>
      </c>
      <c r="B84" t="s">
        <v>14</v>
      </c>
    </row>
    <row r="85" spans="1:2" x14ac:dyDescent="0.25">
      <c r="A85" t="s">
        <v>83</v>
      </c>
      <c r="B85" t="s">
        <v>15</v>
      </c>
    </row>
    <row r="86" spans="1:2" x14ac:dyDescent="0.25">
      <c r="A86" t="s">
        <v>83</v>
      </c>
      <c r="B86" t="s">
        <v>16</v>
      </c>
    </row>
    <row r="87" spans="1:2" x14ac:dyDescent="0.25">
      <c r="A87" t="s">
        <v>83</v>
      </c>
      <c r="B87" t="s">
        <v>17</v>
      </c>
    </row>
    <row r="88" spans="1:2" x14ac:dyDescent="0.25">
      <c r="A88" t="s">
        <v>83</v>
      </c>
      <c r="B88" t="s">
        <v>18</v>
      </c>
    </row>
    <row r="89" spans="1:2" x14ac:dyDescent="0.25">
      <c r="A89" t="s">
        <v>83</v>
      </c>
      <c r="B89" t="s">
        <v>19</v>
      </c>
    </row>
    <row r="90" spans="1:2" x14ac:dyDescent="0.25">
      <c r="A90" t="s">
        <v>84</v>
      </c>
      <c r="B90" t="s">
        <v>2</v>
      </c>
    </row>
    <row r="91" spans="1:2" x14ac:dyDescent="0.25">
      <c r="A91" t="s">
        <v>84</v>
      </c>
      <c r="B91" t="s">
        <v>51</v>
      </c>
    </row>
    <row r="92" spans="1:2" x14ac:dyDescent="0.25">
      <c r="A92" t="s">
        <v>84</v>
      </c>
      <c r="B92" t="s">
        <v>52</v>
      </c>
    </row>
    <row r="93" spans="1:2" x14ac:dyDescent="0.25">
      <c r="A93" t="s">
        <v>84</v>
      </c>
      <c r="B93" t="s">
        <v>53</v>
      </c>
    </row>
    <row r="94" spans="1:2" x14ac:dyDescent="0.25">
      <c r="A94" t="s">
        <v>84</v>
      </c>
      <c r="B94" t="s">
        <v>54</v>
      </c>
    </row>
    <row r="95" spans="1:2" x14ac:dyDescent="0.25">
      <c r="A95" t="s">
        <v>84</v>
      </c>
      <c r="B95" t="s">
        <v>3</v>
      </c>
    </row>
    <row r="96" spans="1:2" x14ac:dyDescent="0.25">
      <c r="A96" t="s">
        <v>84</v>
      </c>
      <c r="B96" t="s">
        <v>4</v>
      </c>
    </row>
    <row r="97" spans="1:3" x14ac:dyDescent="0.25">
      <c r="A97" t="s">
        <v>84</v>
      </c>
      <c r="B97" t="s">
        <v>5</v>
      </c>
    </row>
    <row r="98" spans="1:3" x14ac:dyDescent="0.25">
      <c r="A98" t="s">
        <v>84</v>
      </c>
      <c r="B98" t="s">
        <v>6</v>
      </c>
      <c r="C98" s="2">
        <v>2.1000000000000001E-2</v>
      </c>
    </row>
    <row r="99" spans="1:3" x14ac:dyDescent="0.25">
      <c r="A99" t="s">
        <v>84</v>
      </c>
      <c r="B99" t="s">
        <v>7</v>
      </c>
    </row>
    <row r="100" spans="1:3" x14ac:dyDescent="0.25">
      <c r="A100" t="s">
        <v>84</v>
      </c>
      <c r="B100" t="s">
        <v>8</v>
      </c>
    </row>
    <row r="101" spans="1:3" x14ac:dyDescent="0.25">
      <c r="A101" t="s">
        <v>84</v>
      </c>
      <c r="B101" t="s">
        <v>9</v>
      </c>
    </row>
    <row r="102" spans="1:3" x14ac:dyDescent="0.25">
      <c r="A102" t="s">
        <v>84</v>
      </c>
      <c r="B102" t="s">
        <v>10</v>
      </c>
    </row>
    <row r="103" spans="1:3" x14ac:dyDescent="0.25">
      <c r="A103" t="s">
        <v>84</v>
      </c>
      <c r="B103" t="s">
        <v>11</v>
      </c>
    </row>
    <row r="104" spans="1:3" x14ac:dyDescent="0.25">
      <c r="A104" t="s">
        <v>84</v>
      </c>
      <c r="B104" t="s">
        <v>12</v>
      </c>
    </row>
    <row r="105" spans="1:3" x14ac:dyDescent="0.25">
      <c r="A105" t="s">
        <v>84</v>
      </c>
      <c r="B105" t="s">
        <v>13</v>
      </c>
    </row>
    <row r="106" spans="1:3" x14ac:dyDescent="0.25">
      <c r="A106" t="s">
        <v>84</v>
      </c>
      <c r="B106" t="s">
        <v>14</v>
      </c>
    </row>
    <row r="107" spans="1:3" x14ac:dyDescent="0.25">
      <c r="A107" t="s">
        <v>84</v>
      </c>
      <c r="B107" t="s">
        <v>15</v>
      </c>
    </row>
    <row r="108" spans="1:3" x14ac:dyDescent="0.25">
      <c r="A108" t="s">
        <v>84</v>
      </c>
      <c r="B108" t="s">
        <v>16</v>
      </c>
    </row>
    <row r="109" spans="1:3" x14ac:dyDescent="0.25">
      <c r="A109" t="s">
        <v>84</v>
      </c>
      <c r="B109" t="s">
        <v>17</v>
      </c>
    </row>
    <row r="110" spans="1:3" x14ac:dyDescent="0.25">
      <c r="A110" t="s">
        <v>84</v>
      </c>
      <c r="B110" t="s">
        <v>18</v>
      </c>
    </row>
    <row r="111" spans="1:3" x14ac:dyDescent="0.25">
      <c r="A111" t="s">
        <v>84</v>
      </c>
      <c r="B111" t="s">
        <v>19</v>
      </c>
    </row>
    <row r="112" spans="1:3" x14ac:dyDescent="0.25">
      <c r="A112" t="s">
        <v>85</v>
      </c>
      <c r="B112" t="s">
        <v>2</v>
      </c>
    </row>
    <row r="113" spans="1:3" x14ac:dyDescent="0.25">
      <c r="A113" t="s">
        <v>85</v>
      </c>
      <c r="B113" t="s">
        <v>51</v>
      </c>
    </row>
    <row r="114" spans="1:3" x14ac:dyDescent="0.25">
      <c r="A114" t="s">
        <v>85</v>
      </c>
      <c r="B114" t="s">
        <v>52</v>
      </c>
    </row>
    <row r="115" spans="1:3" x14ac:dyDescent="0.25">
      <c r="A115" t="s">
        <v>85</v>
      </c>
      <c r="B115" t="s">
        <v>53</v>
      </c>
    </row>
    <row r="116" spans="1:3" x14ac:dyDescent="0.25">
      <c r="A116" t="s">
        <v>85</v>
      </c>
      <c r="B116" t="s">
        <v>54</v>
      </c>
    </row>
    <row r="117" spans="1:3" x14ac:dyDescent="0.25">
      <c r="A117" t="s">
        <v>85</v>
      </c>
      <c r="B117" t="s">
        <v>3</v>
      </c>
      <c r="C117" s="2">
        <v>1.24E-2</v>
      </c>
    </row>
    <row r="118" spans="1:3" x14ac:dyDescent="0.25">
      <c r="A118" t="s">
        <v>85</v>
      </c>
      <c r="B118" t="s">
        <v>4</v>
      </c>
      <c r="C118" s="2">
        <v>9.9000000000000008E-3</v>
      </c>
    </row>
    <row r="119" spans="1:3" x14ac:dyDescent="0.25">
      <c r="A119" t="s">
        <v>85</v>
      </c>
      <c r="B119" t="s">
        <v>5</v>
      </c>
    </row>
    <row r="120" spans="1:3" x14ac:dyDescent="0.25">
      <c r="A120" t="s">
        <v>85</v>
      </c>
      <c r="B120" t="s">
        <v>6</v>
      </c>
      <c r="C120" s="2">
        <v>6.0000000000000001E-3</v>
      </c>
    </row>
    <row r="121" spans="1:3" x14ac:dyDescent="0.25">
      <c r="A121" t="s">
        <v>85</v>
      </c>
      <c r="B121" t="s">
        <v>7</v>
      </c>
    </row>
    <row r="122" spans="1:3" x14ac:dyDescent="0.25">
      <c r="A122" t="s">
        <v>85</v>
      </c>
      <c r="B122" t="s">
        <v>8</v>
      </c>
    </row>
    <row r="123" spans="1:3" x14ac:dyDescent="0.25">
      <c r="A123" t="s">
        <v>85</v>
      </c>
      <c r="B123" t="s">
        <v>9</v>
      </c>
    </row>
    <row r="124" spans="1:3" x14ac:dyDescent="0.25">
      <c r="A124" t="s">
        <v>85</v>
      </c>
      <c r="B124" t="s">
        <v>10</v>
      </c>
    </row>
    <row r="125" spans="1:3" x14ac:dyDescent="0.25">
      <c r="A125" t="s">
        <v>85</v>
      </c>
      <c r="B125" t="s">
        <v>11</v>
      </c>
    </row>
    <row r="126" spans="1:3" x14ac:dyDescent="0.25">
      <c r="A126" t="s">
        <v>85</v>
      </c>
      <c r="B126" t="s">
        <v>12</v>
      </c>
    </row>
    <row r="127" spans="1:3" x14ac:dyDescent="0.25">
      <c r="A127" t="s">
        <v>85</v>
      </c>
      <c r="B127" t="s">
        <v>13</v>
      </c>
    </row>
    <row r="128" spans="1:3" x14ac:dyDescent="0.25">
      <c r="A128" t="s">
        <v>85</v>
      </c>
      <c r="B128" t="s">
        <v>14</v>
      </c>
    </row>
    <row r="129" spans="1:3" x14ac:dyDescent="0.25">
      <c r="A129" t="s">
        <v>85</v>
      </c>
      <c r="B129" t="s">
        <v>15</v>
      </c>
    </row>
    <row r="130" spans="1:3" x14ac:dyDescent="0.25">
      <c r="A130" t="s">
        <v>85</v>
      </c>
      <c r="B130" t="s">
        <v>16</v>
      </c>
    </row>
    <row r="131" spans="1:3" x14ac:dyDescent="0.25">
      <c r="A131" t="s">
        <v>85</v>
      </c>
      <c r="B131" t="s">
        <v>17</v>
      </c>
    </row>
    <row r="132" spans="1:3" x14ac:dyDescent="0.25">
      <c r="A132" t="s">
        <v>85</v>
      </c>
      <c r="B132" t="s">
        <v>18</v>
      </c>
    </row>
    <row r="133" spans="1:3" x14ac:dyDescent="0.25">
      <c r="A133" t="s">
        <v>85</v>
      </c>
      <c r="B133" t="s">
        <v>19</v>
      </c>
    </row>
    <row r="134" spans="1:3" x14ac:dyDescent="0.25">
      <c r="A134" t="s">
        <v>86</v>
      </c>
      <c r="B134" t="s">
        <v>2</v>
      </c>
    </row>
    <row r="135" spans="1:3" x14ac:dyDescent="0.25">
      <c r="A135" t="s">
        <v>86</v>
      </c>
      <c r="B135" t="s">
        <v>51</v>
      </c>
    </row>
    <row r="136" spans="1:3" x14ac:dyDescent="0.25">
      <c r="A136" t="s">
        <v>86</v>
      </c>
      <c r="B136" t="s">
        <v>52</v>
      </c>
    </row>
    <row r="137" spans="1:3" x14ac:dyDescent="0.25">
      <c r="A137" t="s">
        <v>86</v>
      </c>
      <c r="B137" t="s">
        <v>53</v>
      </c>
    </row>
    <row r="138" spans="1:3" x14ac:dyDescent="0.25">
      <c r="A138" t="s">
        <v>86</v>
      </c>
      <c r="B138" t="s">
        <v>54</v>
      </c>
    </row>
    <row r="139" spans="1:3" x14ac:dyDescent="0.25">
      <c r="A139" t="s">
        <v>86</v>
      </c>
      <c r="B139" t="s">
        <v>3</v>
      </c>
      <c r="C139" s="2">
        <v>8.1999999999999998E-4</v>
      </c>
    </row>
    <row r="140" spans="1:3" x14ac:dyDescent="0.25">
      <c r="A140" t="s">
        <v>86</v>
      </c>
      <c r="B140" t="s">
        <v>4</v>
      </c>
      <c r="C140" s="2">
        <v>3.5999999999999999E-3</v>
      </c>
    </row>
    <row r="141" spans="1:3" x14ac:dyDescent="0.25">
      <c r="A141" t="s">
        <v>86</v>
      </c>
      <c r="B141" t="s">
        <v>5</v>
      </c>
    </row>
    <row r="142" spans="1:3" x14ac:dyDescent="0.25">
      <c r="A142" t="s">
        <v>86</v>
      </c>
      <c r="B142" t="s">
        <v>6</v>
      </c>
      <c r="C142" s="2">
        <v>2E-3</v>
      </c>
    </row>
    <row r="143" spans="1:3" x14ac:dyDescent="0.25">
      <c r="A143" t="s">
        <v>86</v>
      </c>
      <c r="B143" t="s">
        <v>7</v>
      </c>
    </row>
    <row r="144" spans="1:3" x14ac:dyDescent="0.25">
      <c r="A144" t="s">
        <v>86</v>
      </c>
      <c r="B144" t="s">
        <v>8</v>
      </c>
    </row>
    <row r="145" spans="1:2" x14ac:dyDescent="0.25">
      <c r="A145" t="s">
        <v>86</v>
      </c>
      <c r="B145" t="s">
        <v>9</v>
      </c>
    </row>
    <row r="146" spans="1:2" x14ac:dyDescent="0.25">
      <c r="A146" t="s">
        <v>86</v>
      </c>
      <c r="B146" t="s">
        <v>10</v>
      </c>
    </row>
    <row r="147" spans="1:2" x14ac:dyDescent="0.25">
      <c r="A147" t="s">
        <v>86</v>
      </c>
      <c r="B147" t="s">
        <v>11</v>
      </c>
    </row>
    <row r="148" spans="1:2" x14ac:dyDescent="0.25">
      <c r="A148" t="s">
        <v>86</v>
      </c>
      <c r="B148" t="s">
        <v>12</v>
      </c>
    </row>
    <row r="149" spans="1:2" x14ac:dyDescent="0.25">
      <c r="A149" t="s">
        <v>86</v>
      </c>
      <c r="B149" t="s">
        <v>13</v>
      </c>
    </row>
    <row r="150" spans="1:2" x14ac:dyDescent="0.25">
      <c r="A150" t="s">
        <v>86</v>
      </c>
      <c r="B150" t="s">
        <v>14</v>
      </c>
    </row>
    <row r="151" spans="1:2" x14ac:dyDescent="0.25">
      <c r="A151" t="s">
        <v>86</v>
      </c>
      <c r="B151" t="s">
        <v>15</v>
      </c>
    </row>
    <row r="152" spans="1:2" x14ac:dyDescent="0.25">
      <c r="A152" t="s">
        <v>86</v>
      </c>
      <c r="B152" t="s">
        <v>16</v>
      </c>
    </row>
    <row r="153" spans="1:2" x14ac:dyDescent="0.25">
      <c r="A153" t="s">
        <v>86</v>
      </c>
      <c r="B153" t="s">
        <v>17</v>
      </c>
    </row>
    <row r="154" spans="1:2" x14ac:dyDescent="0.25">
      <c r="A154" t="s">
        <v>86</v>
      </c>
      <c r="B154" t="s">
        <v>18</v>
      </c>
    </row>
    <row r="155" spans="1:2" x14ac:dyDescent="0.25">
      <c r="A155" t="s">
        <v>86</v>
      </c>
      <c r="B155" t="s">
        <v>19</v>
      </c>
    </row>
  </sheetData>
  <autoFilter ref="A1:C155" xr:uid="{00000000-0001-0000-03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1</v>
      </c>
    </row>
    <row r="2" spans="1:3" x14ac:dyDescent="0.25">
      <c r="A2" t="s">
        <v>28</v>
      </c>
      <c r="B2" t="s">
        <v>275</v>
      </c>
      <c r="C2">
        <v>0.61199999999999999</v>
      </c>
    </row>
    <row r="3" spans="1:3" x14ac:dyDescent="0.25">
      <c r="A3" t="s">
        <v>28</v>
      </c>
      <c r="B3" t="s">
        <v>274</v>
      </c>
      <c r="C3">
        <v>0.32900000000000001</v>
      </c>
    </row>
    <row r="4" spans="1:3" x14ac:dyDescent="0.25">
      <c r="A4" t="s">
        <v>29</v>
      </c>
      <c r="B4" t="s">
        <v>275</v>
      </c>
      <c r="C4">
        <v>0.193</v>
      </c>
    </row>
    <row r="5" spans="1:3" x14ac:dyDescent="0.25">
      <c r="A5" t="s">
        <v>29</v>
      </c>
      <c r="B5" t="s">
        <v>274</v>
      </c>
      <c r="C5">
        <v>0.24</v>
      </c>
    </row>
    <row r="6" spans="1:3" x14ac:dyDescent="0.25">
      <c r="A6" t="s">
        <v>30</v>
      </c>
      <c r="B6" t="s">
        <v>275</v>
      </c>
      <c r="C6">
        <v>0.69</v>
      </c>
    </row>
    <row r="7" spans="1:3" x14ac:dyDescent="0.25">
      <c r="A7" t="s">
        <v>30</v>
      </c>
      <c r="B7" t="s">
        <v>274</v>
      </c>
      <c r="C7">
        <v>8.8999999999999996E-2</v>
      </c>
    </row>
    <row r="8" spans="1:3" x14ac:dyDescent="0.25">
      <c r="A8" t="s">
        <v>97</v>
      </c>
      <c r="B8" t="s">
        <v>275</v>
      </c>
      <c r="C8">
        <f>C6</f>
        <v>0.69</v>
      </c>
    </row>
    <row r="9" spans="1:3" x14ac:dyDescent="0.25">
      <c r="A9" t="s">
        <v>97</v>
      </c>
      <c r="B9" t="s">
        <v>274</v>
      </c>
      <c r="C9">
        <f>C7</f>
        <v>8.8999999999999996E-2</v>
      </c>
    </row>
    <row r="10" spans="1:3" x14ac:dyDescent="0.25">
      <c r="A10" t="s">
        <v>31</v>
      </c>
      <c r="B10" t="s">
        <v>275</v>
      </c>
      <c r="C10">
        <f>C4</f>
        <v>0.193</v>
      </c>
    </row>
    <row r="11" spans="1:3" x14ac:dyDescent="0.25">
      <c r="A11" t="s">
        <v>31</v>
      </c>
      <c r="B11" t="s">
        <v>274</v>
      </c>
      <c r="C11">
        <f>C5</f>
        <v>0.24</v>
      </c>
    </row>
    <row r="12" spans="1:3" x14ac:dyDescent="0.25">
      <c r="A12" t="s">
        <v>32</v>
      </c>
      <c r="B12" t="s">
        <v>275</v>
      </c>
      <c r="C12">
        <f>C2</f>
        <v>0.61199999999999999</v>
      </c>
    </row>
    <row r="13" spans="1:3" x14ac:dyDescent="0.25">
      <c r="A13" t="s">
        <v>32</v>
      </c>
      <c r="B13" t="s">
        <v>274</v>
      </c>
      <c r="C13">
        <f>C3</f>
        <v>0.32900000000000001</v>
      </c>
    </row>
    <row r="14" spans="1:3" x14ac:dyDescent="0.25">
      <c r="A14" t="s">
        <v>28</v>
      </c>
      <c r="B14" t="s">
        <v>276</v>
      </c>
      <c r="C14">
        <v>0.26300000000000001</v>
      </c>
    </row>
    <row r="15" spans="1:3" x14ac:dyDescent="0.25">
      <c r="A15" t="s">
        <v>29</v>
      </c>
      <c r="B15" t="s">
        <v>276</v>
      </c>
      <c r="C15">
        <v>0.185</v>
      </c>
    </row>
    <row r="16" spans="1:3" x14ac:dyDescent="0.25">
      <c r="A16" t="s">
        <v>30</v>
      </c>
      <c r="B16" t="s">
        <v>276</v>
      </c>
      <c r="C16">
        <v>0.25</v>
      </c>
    </row>
    <row r="17" spans="1:3" x14ac:dyDescent="0.25">
      <c r="A17" t="s">
        <v>97</v>
      </c>
      <c r="B17" t="s">
        <v>276</v>
      </c>
      <c r="C17">
        <f>C16</f>
        <v>0.25</v>
      </c>
    </row>
    <row r="18" spans="1:3" x14ac:dyDescent="0.25">
      <c r="A18" t="s">
        <v>31</v>
      </c>
      <c r="B18" t="s">
        <v>276</v>
      </c>
      <c r="C18">
        <f>C14</f>
        <v>0.26300000000000001</v>
      </c>
    </row>
    <row r="19" spans="1:3" x14ac:dyDescent="0.25">
      <c r="A19" t="s">
        <v>32</v>
      </c>
      <c r="B19" t="s">
        <v>276</v>
      </c>
      <c r="C19">
        <f>C15</f>
        <v>0.185</v>
      </c>
    </row>
  </sheetData>
  <autoFilter ref="A1:C19" xr:uid="{00000000-0001-0000-0400-000000000000}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C41" sqref="C41"/>
    </sheetView>
  </sheetViews>
  <sheetFormatPr defaultRowHeight="15" x14ac:dyDescent="0.25"/>
  <sheetData>
    <row r="1" spans="1:3" x14ac:dyDescent="0.25">
      <c r="A1" s="1" t="s">
        <v>33</v>
      </c>
      <c r="B1" s="1" t="s">
        <v>34</v>
      </c>
      <c r="C1" s="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0</v>
      </c>
    </row>
    <row r="6" spans="1:3" x14ac:dyDescent="0.25">
      <c r="A6" t="s">
        <v>2</v>
      </c>
      <c r="B6" t="s">
        <v>7</v>
      </c>
      <c r="C6">
        <v>0</v>
      </c>
    </row>
    <row r="7" spans="1:3" x14ac:dyDescent="0.25">
      <c r="A7" t="s">
        <v>2</v>
      </c>
      <c r="B7" t="s">
        <v>8</v>
      </c>
      <c r="C7">
        <v>0</v>
      </c>
    </row>
    <row r="8" spans="1:3" x14ac:dyDescent="0.25">
      <c r="A8" t="s">
        <v>51</v>
      </c>
      <c r="B8" t="s">
        <v>3</v>
      </c>
      <c r="C8">
        <v>1</v>
      </c>
    </row>
    <row r="9" spans="1:3" x14ac:dyDescent="0.25">
      <c r="A9" t="s">
        <v>51</v>
      </c>
      <c r="B9" t="s">
        <v>4</v>
      </c>
      <c r="C9">
        <v>0</v>
      </c>
    </row>
    <row r="10" spans="1:3" x14ac:dyDescent="0.25">
      <c r="A10" t="s">
        <v>51</v>
      </c>
      <c r="B10" t="s">
        <v>5</v>
      </c>
      <c r="C10">
        <v>1</v>
      </c>
    </row>
    <row r="11" spans="1:3" x14ac:dyDescent="0.25">
      <c r="A11" t="s">
        <v>51</v>
      </c>
      <c r="B11" t="s">
        <v>6</v>
      </c>
      <c r="C11">
        <v>0</v>
      </c>
    </row>
    <row r="12" spans="1:3" x14ac:dyDescent="0.25">
      <c r="A12" t="s">
        <v>51</v>
      </c>
      <c r="B12" t="s">
        <v>7</v>
      </c>
      <c r="C12">
        <v>1</v>
      </c>
    </row>
    <row r="13" spans="1:3" x14ac:dyDescent="0.25">
      <c r="A13" t="s">
        <v>51</v>
      </c>
      <c r="B13" t="s">
        <v>8</v>
      </c>
      <c r="C13">
        <v>0</v>
      </c>
    </row>
    <row r="14" spans="1:3" x14ac:dyDescent="0.25">
      <c r="A14" t="s">
        <v>52</v>
      </c>
      <c r="B14" t="s">
        <v>3</v>
      </c>
      <c r="C14">
        <v>0</v>
      </c>
    </row>
    <row r="15" spans="1:3" x14ac:dyDescent="0.25">
      <c r="A15" t="s">
        <v>52</v>
      </c>
      <c r="B15" t="s">
        <v>4</v>
      </c>
      <c r="C15">
        <v>0</v>
      </c>
    </row>
    <row r="16" spans="1:3" x14ac:dyDescent="0.25">
      <c r="A16" t="s">
        <v>52</v>
      </c>
      <c r="B16" t="s">
        <v>5</v>
      </c>
      <c r="C16">
        <v>1</v>
      </c>
    </row>
    <row r="17" spans="1:3" x14ac:dyDescent="0.25">
      <c r="A17" t="s">
        <v>52</v>
      </c>
      <c r="B17" t="s">
        <v>6</v>
      </c>
      <c r="C17">
        <v>0</v>
      </c>
    </row>
    <row r="18" spans="1:3" x14ac:dyDescent="0.25">
      <c r="A18" t="s">
        <v>52</v>
      </c>
      <c r="B18" t="s">
        <v>7</v>
      </c>
      <c r="C18">
        <v>0</v>
      </c>
    </row>
    <row r="19" spans="1:3" x14ac:dyDescent="0.25">
      <c r="A19" t="s">
        <v>52</v>
      </c>
      <c r="B19" t="s">
        <v>8</v>
      </c>
      <c r="C19">
        <v>0</v>
      </c>
    </row>
    <row r="20" spans="1:3" x14ac:dyDescent="0.25">
      <c r="A20" t="s">
        <v>53</v>
      </c>
      <c r="B20" t="s">
        <v>3</v>
      </c>
      <c r="C20">
        <v>1</v>
      </c>
    </row>
    <row r="21" spans="1:3" x14ac:dyDescent="0.25">
      <c r="A21" t="s">
        <v>53</v>
      </c>
      <c r="B21" t="s">
        <v>4</v>
      </c>
      <c r="C21">
        <v>0</v>
      </c>
    </row>
    <row r="22" spans="1:3" x14ac:dyDescent="0.25">
      <c r="A22" t="s">
        <v>53</v>
      </c>
      <c r="B22" t="s">
        <v>5</v>
      </c>
      <c r="C22">
        <v>1</v>
      </c>
    </row>
    <row r="23" spans="1:3" x14ac:dyDescent="0.25">
      <c r="A23" t="s">
        <v>53</v>
      </c>
      <c r="B23" t="s">
        <v>6</v>
      </c>
      <c r="C23">
        <v>1</v>
      </c>
    </row>
    <row r="24" spans="1:3" x14ac:dyDescent="0.25">
      <c r="A24" t="s">
        <v>53</v>
      </c>
      <c r="B24" t="s">
        <v>7</v>
      </c>
      <c r="C24">
        <v>1</v>
      </c>
    </row>
    <row r="25" spans="1:3" x14ac:dyDescent="0.25">
      <c r="A25" t="s">
        <v>53</v>
      </c>
      <c r="B25" t="s">
        <v>8</v>
      </c>
      <c r="C25">
        <v>1</v>
      </c>
    </row>
    <row r="26" spans="1:3" x14ac:dyDescent="0.25">
      <c r="A26" t="s">
        <v>54</v>
      </c>
      <c r="B26" t="s">
        <v>3</v>
      </c>
      <c r="C26">
        <v>1</v>
      </c>
    </row>
    <row r="27" spans="1:3" x14ac:dyDescent="0.25">
      <c r="A27" t="s">
        <v>54</v>
      </c>
      <c r="B27" t="s">
        <v>4</v>
      </c>
      <c r="C27">
        <v>1</v>
      </c>
    </row>
    <row r="28" spans="1:3" x14ac:dyDescent="0.25">
      <c r="A28" t="s">
        <v>54</v>
      </c>
      <c r="B28" t="s">
        <v>5</v>
      </c>
      <c r="C28">
        <v>1</v>
      </c>
    </row>
    <row r="29" spans="1:3" x14ac:dyDescent="0.25">
      <c r="A29" t="s">
        <v>54</v>
      </c>
      <c r="B29" t="s">
        <v>6</v>
      </c>
      <c r="C29">
        <v>1</v>
      </c>
    </row>
    <row r="30" spans="1:3" x14ac:dyDescent="0.25">
      <c r="A30" t="s">
        <v>54</v>
      </c>
      <c r="B30" t="s">
        <v>7</v>
      </c>
      <c r="C30">
        <v>1</v>
      </c>
    </row>
    <row r="31" spans="1:3" x14ac:dyDescent="0.25">
      <c r="A31" t="s">
        <v>54</v>
      </c>
      <c r="B31" t="s">
        <v>8</v>
      </c>
      <c r="C31">
        <v>1</v>
      </c>
    </row>
  </sheetData>
  <autoFilter ref="A1:C31" xr:uid="{00000000-0001-0000-05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38"/>
  <sheetViews>
    <sheetView workbookViewId="0">
      <selection activeCell="M57" sqref="M57"/>
    </sheetView>
  </sheetViews>
  <sheetFormatPr defaultRowHeight="15" x14ac:dyDescent="0.25"/>
  <sheetData>
    <row r="1" spans="1:8" x14ac:dyDescent="0.25">
      <c r="A1" s="1" t="s">
        <v>26</v>
      </c>
      <c r="B1" s="1" t="s">
        <v>34</v>
      </c>
      <c r="C1" s="1" t="s">
        <v>1</v>
      </c>
    </row>
    <row r="2" spans="1:8" x14ac:dyDescent="0.25">
      <c r="A2" t="s">
        <v>28</v>
      </c>
      <c r="B2" t="s">
        <v>3</v>
      </c>
      <c r="C2">
        <v>0.89500000000000002</v>
      </c>
    </row>
    <row r="3" spans="1:8" hidden="1" x14ac:dyDescent="0.25">
      <c r="A3" t="s">
        <v>28</v>
      </c>
      <c r="B3" t="s">
        <v>7</v>
      </c>
      <c r="C3">
        <v>0.96799999999999997</v>
      </c>
    </row>
    <row r="4" spans="1:8" hidden="1" x14ac:dyDescent="0.25">
      <c r="A4" t="s">
        <v>28</v>
      </c>
      <c r="B4" t="s">
        <v>5</v>
      </c>
      <c r="C4">
        <v>0.99409999999999998</v>
      </c>
    </row>
    <row r="5" spans="1:8" hidden="1" x14ac:dyDescent="0.25">
      <c r="A5" t="s">
        <v>28</v>
      </c>
      <c r="B5" t="s">
        <v>4</v>
      </c>
      <c r="C5">
        <v>0.92210000000000003</v>
      </c>
    </row>
    <row r="6" spans="1:8" hidden="1" x14ac:dyDescent="0.25">
      <c r="A6" t="s">
        <v>28</v>
      </c>
      <c r="B6" t="s">
        <v>8</v>
      </c>
      <c r="C6">
        <v>0.87460000000000004</v>
      </c>
    </row>
    <row r="7" spans="1:8" hidden="1" x14ac:dyDescent="0.25">
      <c r="A7" t="s">
        <v>28</v>
      </c>
      <c r="B7" t="s">
        <v>6</v>
      </c>
      <c r="C7">
        <v>0.80679999999999996</v>
      </c>
      <c r="H7" s="6"/>
    </row>
    <row r="8" spans="1:8" x14ac:dyDescent="0.25">
      <c r="A8" t="s">
        <v>29</v>
      </c>
      <c r="B8" t="s">
        <v>3</v>
      </c>
      <c r="C8">
        <v>2.5999999999999999E-2</v>
      </c>
    </row>
    <row r="9" spans="1:8" hidden="1" x14ac:dyDescent="0.25">
      <c r="A9" t="s">
        <v>29</v>
      </c>
      <c r="B9" t="s">
        <v>7</v>
      </c>
      <c r="C9">
        <v>0.54300000000000004</v>
      </c>
    </row>
    <row r="10" spans="1:8" hidden="1" x14ac:dyDescent="0.25">
      <c r="A10" t="s">
        <v>29</v>
      </c>
      <c r="B10" t="s">
        <v>5</v>
      </c>
      <c r="C10">
        <v>0.64910000000000001</v>
      </c>
    </row>
    <row r="11" spans="1:8" hidden="1" x14ac:dyDescent="0.25">
      <c r="A11" t="s">
        <v>29</v>
      </c>
      <c r="B11" t="s">
        <v>4</v>
      </c>
      <c r="C11">
        <v>0</v>
      </c>
    </row>
    <row r="12" spans="1:8" hidden="1" x14ac:dyDescent="0.25">
      <c r="A12" t="s">
        <v>29</v>
      </c>
      <c r="B12" t="s">
        <v>8</v>
      </c>
      <c r="C12">
        <v>0.42559999999999998</v>
      </c>
    </row>
    <row r="13" spans="1:8" hidden="1" x14ac:dyDescent="0.25">
      <c r="A13" t="s">
        <v>29</v>
      </c>
      <c r="B13" t="s">
        <v>6</v>
      </c>
      <c r="C13">
        <v>0.39860000000000001</v>
      </c>
    </row>
    <row r="14" spans="1:8" x14ac:dyDescent="0.25">
      <c r="A14" t="s">
        <v>30</v>
      </c>
      <c r="B14" t="s">
        <v>3</v>
      </c>
      <c r="C14">
        <v>0.95</v>
      </c>
    </row>
    <row r="15" spans="1:8" hidden="1" x14ac:dyDescent="0.25">
      <c r="A15" t="s">
        <v>30</v>
      </c>
      <c r="B15" t="s">
        <v>7</v>
      </c>
      <c r="C15">
        <v>0.45779999999999998</v>
      </c>
    </row>
    <row r="16" spans="1:8" hidden="1" x14ac:dyDescent="0.25">
      <c r="A16" t="s">
        <v>30</v>
      </c>
      <c r="B16" t="s">
        <v>5</v>
      </c>
      <c r="C16">
        <v>0.71189999999999998</v>
      </c>
    </row>
    <row r="17" spans="1:3" hidden="1" x14ac:dyDescent="0.25">
      <c r="A17" t="s">
        <v>30</v>
      </c>
      <c r="B17" t="s">
        <v>4</v>
      </c>
      <c r="C17">
        <v>1.0563</v>
      </c>
    </row>
    <row r="18" spans="1:3" hidden="1" x14ac:dyDescent="0.25">
      <c r="A18" t="s">
        <v>30</v>
      </c>
      <c r="B18" t="s">
        <v>8</v>
      </c>
      <c r="C18">
        <v>0.2283</v>
      </c>
    </row>
    <row r="19" spans="1:3" hidden="1" x14ac:dyDescent="0.25">
      <c r="A19" t="s">
        <v>30</v>
      </c>
      <c r="B19" t="s">
        <v>6</v>
      </c>
      <c r="C19">
        <v>0.73029999999999995</v>
      </c>
    </row>
    <row r="20" spans="1:3" x14ac:dyDescent="0.25">
      <c r="A20" t="s">
        <v>97</v>
      </c>
      <c r="B20" t="s">
        <v>3</v>
      </c>
      <c r="C20">
        <v>0.05</v>
      </c>
    </row>
    <row r="21" spans="1:3" hidden="1" x14ac:dyDescent="0.25">
      <c r="A21" t="s">
        <v>97</v>
      </c>
      <c r="B21" t="s">
        <v>7</v>
      </c>
      <c r="C21">
        <v>0.54220000000000002</v>
      </c>
    </row>
    <row r="22" spans="1:3" hidden="1" x14ac:dyDescent="0.25">
      <c r="A22" t="s">
        <v>97</v>
      </c>
      <c r="B22" t="s">
        <v>5</v>
      </c>
      <c r="C22">
        <v>0.28810000000000002</v>
      </c>
    </row>
    <row r="23" spans="1:3" hidden="1" x14ac:dyDescent="0.25">
      <c r="A23" t="s">
        <v>97</v>
      </c>
      <c r="B23" t="s">
        <v>4</v>
      </c>
      <c r="C23">
        <v>0</v>
      </c>
    </row>
    <row r="24" spans="1:3" hidden="1" x14ac:dyDescent="0.25">
      <c r="A24" t="s">
        <v>97</v>
      </c>
      <c r="B24" t="s">
        <v>8</v>
      </c>
      <c r="C24">
        <v>0.77170000000000005</v>
      </c>
    </row>
    <row r="25" spans="1:3" hidden="1" x14ac:dyDescent="0.25">
      <c r="A25" t="s">
        <v>97</v>
      </c>
      <c r="B25" t="s">
        <v>6</v>
      </c>
      <c r="C25">
        <f>0.7*(1-C19)</f>
        <v>0.18879000000000001</v>
      </c>
    </row>
    <row r="26" spans="1:3" x14ac:dyDescent="0.25">
      <c r="A26" t="s">
        <v>32</v>
      </c>
      <c r="B26" t="s">
        <v>3</v>
      </c>
      <c r="C26">
        <v>0.1133</v>
      </c>
    </row>
    <row r="27" spans="1:3" hidden="1" x14ac:dyDescent="0.25">
      <c r="A27" t="s">
        <v>32</v>
      </c>
      <c r="B27" t="s">
        <v>7</v>
      </c>
      <c r="C27">
        <v>2.6800000000000001E-3</v>
      </c>
    </row>
    <row r="28" spans="1:3" hidden="1" x14ac:dyDescent="0.25">
      <c r="A28" t="s">
        <v>32</v>
      </c>
      <c r="B28" t="s">
        <v>5</v>
      </c>
      <c r="C28">
        <v>1.9E-2</v>
      </c>
    </row>
    <row r="29" spans="1:3" hidden="1" x14ac:dyDescent="0.25">
      <c r="A29" t="s">
        <v>32</v>
      </c>
      <c r="B29" t="s">
        <v>4</v>
      </c>
      <c r="C29">
        <v>0</v>
      </c>
    </row>
    <row r="30" spans="1:3" hidden="1" x14ac:dyDescent="0.25">
      <c r="A30" t="s">
        <v>32</v>
      </c>
      <c r="B30" t="s">
        <v>8</v>
      </c>
      <c r="C30">
        <v>0</v>
      </c>
    </row>
    <row r="31" spans="1:3" hidden="1" x14ac:dyDescent="0.25">
      <c r="A31" t="s">
        <v>32</v>
      </c>
      <c r="B31" t="s">
        <v>6</v>
      </c>
      <c r="C31">
        <v>2.3300000000000001E-2</v>
      </c>
    </row>
    <row r="32" spans="1:3" x14ac:dyDescent="0.25">
      <c r="A32" t="s">
        <v>31</v>
      </c>
      <c r="B32" t="s">
        <v>3</v>
      </c>
      <c r="C32">
        <v>1.022</v>
      </c>
    </row>
    <row r="33" spans="1:8" hidden="1" x14ac:dyDescent="0.25">
      <c r="A33" t="s">
        <v>31</v>
      </c>
      <c r="B33" t="s">
        <v>7</v>
      </c>
      <c r="C33">
        <v>0</v>
      </c>
    </row>
    <row r="34" spans="1:8" hidden="1" x14ac:dyDescent="0.25">
      <c r="A34" t="s">
        <v>31</v>
      </c>
      <c r="B34" t="s">
        <v>5</v>
      </c>
      <c r="C34">
        <v>6.5700000000000003E-4</v>
      </c>
    </row>
    <row r="35" spans="1:8" hidden="1" x14ac:dyDescent="0.25">
      <c r="A35" t="s">
        <v>31</v>
      </c>
      <c r="B35" t="s">
        <v>4</v>
      </c>
      <c r="C35">
        <v>0</v>
      </c>
    </row>
    <row r="36" spans="1:8" hidden="1" x14ac:dyDescent="0.25">
      <c r="A36" t="s">
        <v>31</v>
      </c>
      <c r="B36" t="s">
        <v>8</v>
      </c>
      <c r="C36">
        <v>0</v>
      </c>
    </row>
    <row r="37" spans="1:8" hidden="1" x14ac:dyDescent="0.25">
      <c r="A37" t="s">
        <v>31</v>
      </c>
      <c r="B37" t="s">
        <v>6</v>
      </c>
      <c r="C37">
        <v>0.17080000000000001</v>
      </c>
    </row>
    <row r="38" spans="1:8" x14ac:dyDescent="0.25">
      <c r="H38" s="5"/>
    </row>
  </sheetData>
  <autoFilter ref="A1:C37" xr:uid="{00000000-0001-0000-0600-000000000000}">
    <filterColumn colId="1">
      <filters>
        <filter val="Dilute Acid"/>
      </filters>
    </filterColumn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3"/>
  <sheetViews>
    <sheetView workbookViewId="0">
      <selection activeCell="M23" sqref="M23"/>
    </sheetView>
  </sheetViews>
  <sheetFormatPr defaultRowHeight="15" x14ac:dyDescent="0.25"/>
  <sheetData>
    <row r="1" spans="1:6" x14ac:dyDescent="0.25">
      <c r="A1" s="1" t="s">
        <v>26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</row>
    <row r="2" spans="1:6" x14ac:dyDescent="0.25">
      <c r="A2" t="s">
        <v>28</v>
      </c>
      <c r="B2" t="s">
        <v>3</v>
      </c>
      <c r="C2" t="s">
        <v>9</v>
      </c>
      <c r="D2" t="s">
        <v>38</v>
      </c>
      <c r="E2" t="s">
        <v>47</v>
      </c>
      <c r="F2">
        <v>1</v>
      </c>
    </row>
    <row r="3" spans="1:6" x14ac:dyDescent="0.25">
      <c r="A3" t="s">
        <v>28</v>
      </c>
      <c r="B3" t="s">
        <v>3</v>
      </c>
      <c r="C3" t="s">
        <v>9</v>
      </c>
      <c r="D3" t="s">
        <v>39</v>
      </c>
      <c r="E3" t="s">
        <v>47</v>
      </c>
      <c r="F3">
        <v>1</v>
      </c>
    </row>
    <row r="4" spans="1:6" x14ac:dyDescent="0.25">
      <c r="A4" t="s">
        <v>28</v>
      </c>
      <c r="B4" t="s">
        <v>3</v>
      </c>
      <c r="C4" t="s">
        <v>9</v>
      </c>
      <c r="D4" t="s">
        <v>40</v>
      </c>
      <c r="E4" t="s">
        <v>47</v>
      </c>
      <c r="F4">
        <v>1</v>
      </c>
    </row>
    <row r="5" spans="1:6" x14ac:dyDescent="0.25">
      <c r="A5" t="s">
        <v>28</v>
      </c>
      <c r="B5" t="s">
        <v>3</v>
      </c>
      <c r="C5" t="s">
        <v>9</v>
      </c>
      <c r="D5" t="s">
        <v>41</v>
      </c>
      <c r="E5" t="s">
        <v>25</v>
      </c>
      <c r="F5">
        <v>1</v>
      </c>
    </row>
    <row r="6" spans="1:6" x14ac:dyDescent="0.25">
      <c r="A6" t="s">
        <v>28</v>
      </c>
      <c r="B6" t="s">
        <v>3</v>
      </c>
      <c r="C6" t="s">
        <v>9</v>
      </c>
      <c r="D6" t="s">
        <v>42</v>
      </c>
      <c r="E6" t="s">
        <v>25</v>
      </c>
      <c r="F6">
        <v>1</v>
      </c>
    </row>
    <row r="7" spans="1:6" x14ac:dyDescent="0.25">
      <c r="A7" t="s">
        <v>28</v>
      </c>
      <c r="B7" t="s">
        <v>3</v>
      </c>
      <c r="C7" t="s">
        <v>9</v>
      </c>
      <c r="D7" t="s">
        <v>43</v>
      </c>
      <c r="E7" t="s">
        <v>25</v>
      </c>
      <c r="F7">
        <v>1</v>
      </c>
    </row>
    <row r="8" spans="1:6" x14ac:dyDescent="0.25">
      <c r="A8" t="s">
        <v>28</v>
      </c>
      <c r="B8" t="s">
        <v>3</v>
      </c>
      <c r="C8" t="s">
        <v>9</v>
      </c>
      <c r="D8" t="s">
        <v>44</v>
      </c>
      <c r="E8" t="s">
        <v>48</v>
      </c>
      <c r="F8">
        <v>1</v>
      </c>
    </row>
    <row r="9" spans="1:6" x14ac:dyDescent="0.25">
      <c r="A9" t="s">
        <v>28</v>
      </c>
      <c r="B9" t="s">
        <v>3</v>
      </c>
      <c r="C9" t="s">
        <v>9</v>
      </c>
      <c r="D9" t="s">
        <v>44</v>
      </c>
      <c r="E9" t="s">
        <v>25</v>
      </c>
      <c r="F9">
        <v>1</v>
      </c>
    </row>
    <row r="10" spans="1:6" x14ac:dyDescent="0.25">
      <c r="A10" t="s">
        <v>28</v>
      </c>
      <c r="B10" t="s">
        <v>3</v>
      </c>
      <c r="C10" t="s">
        <v>9</v>
      </c>
      <c r="D10" t="s">
        <v>45</v>
      </c>
      <c r="E10" t="s">
        <v>48</v>
      </c>
      <c r="F10">
        <v>1</v>
      </c>
    </row>
    <row r="11" spans="1:6" x14ac:dyDescent="0.25">
      <c r="A11" t="s">
        <v>29</v>
      </c>
      <c r="B11" t="s">
        <v>3</v>
      </c>
      <c r="C11" t="s">
        <v>9</v>
      </c>
      <c r="D11" t="s">
        <v>38</v>
      </c>
      <c r="E11" t="s">
        <v>47</v>
      </c>
      <c r="F11">
        <v>1</v>
      </c>
    </row>
    <row r="12" spans="1:6" x14ac:dyDescent="0.25">
      <c r="A12" t="s">
        <v>29</v>
      </c>
      <c r="B12" t="s">
        <v>3</v>
      </c>
      <c r="C12" t="s">
        <v>9</v>
      </c>
      <c r="D12" t="s">
        <v>39</v>
      </c>
      <c r="E12" t="s">
        <v>47</v>
      </c>
      <c r="F12">
        <v>1</v>
      </c>
    </row>
    <row r="13" spans="1:6" x14ac:dyDescent="0.25">
      <c r="A13" t="s">
        <v>29</v>
      </c>
      <c r="B13" t="s">
        <v>3</v>
      </c>
      <c r="C13" t="s">
        <v>9</v>
      </c>
      <c r="D13" t="s">
        <v>40</v>
      </c>
      <c r="E13" t="s">
        <v>47</v>
      </c>
      <c r="F13">
        <v>1</v>
      </c>
    </row>
    <row r="14" spans="1:6" x14ac:dyDescent="0.25">
      <c r="A14" t="s">
        <v>29</v>
      </c>
      <c r="B14" t="s">
        <v>3</v>
      </c>
      <c r="C14" t="s">
        <v>9</v>
      </c>
      <c r="D14" t="s">
        <v>41</v>
      </c>
      <c r="E14" t="s">
        <v>25</v>
      </c>
      <c r="F14">
        <v>1</v>
      </c>
    </row>
    <row r="15" spans="1:6" x14ac:dyDescent="0.25">
      <c r="A15" t="s">
        <v>29</v>
      </c>
      <c r="B15" t="s">
        <v>3</v>
      </c>
      <c r="C15" t="s">
        <v>9</v>
      </c>
      <c r="D15" t="s">
        <v>42</v>
      </c>
      <c r="E15" t="s">
        <v>25</v>
      </c>
      <c r="F15">
        <v>1</v>
      </c>
    </row>
    <row r="16" spans="1:6" x14ac:dyDescent="0.25">
      <c r="A16" t="s">
        <v>29</v>
      </c>
      <c r="B16" t="s">
        <v>3</v>
      </c>
      <c r="C16" t="s">
        <v>9</v>
      </c>
      <c r="D16" t="s">
        <v>43</v>
      </c>
      <c r="E16" t="s">
        <v>25</v>
      </c>
      <c r="F16">
        <v>1</v>
      </c>
    </row>
    <row r="17" spans="1:6" x14ac:dyDescent="0.25">
      <c r="A17" t="s">
        <v>29</v>
      </c>
      <c r="B17" t="s">
        <v>3</v>
      </c>
      <c r="C17" t="s">
        <v>9</v>
      </c>
      <c r="D17" t="s">
        <v>44</v>
      </c>
      <c r="E17" t="s">
        <v>48</v>
      </c>
      <c r="F17">
        <v>1</v>
      </c>
    </row>
    <row r="18" spans="1:6" x14ac:dyDescent="0.25">
      <c r="A18" t="s">
        <v>29</v>
      </c>
      <c r="B18" t="s">
        <v>3</v>
      </c>
      <c r="C18" t="s">
        <v>9</v>
      </c>
      <c r="D18" t="s">
        <v>44</v>
      </c>
      <c r="E18" t="s">
        <v>25</v>
      </c>
      <c r="F18">
        <v>1</v>
      </c>
    </row>
    <row r="19" spans="1:6" x14ac:dyDescent="0.25">
      <c r="A19" t="s">
        <v>29</v>
      </c>
      <c r="B19" t="s">
        <v>3</v>
      </c>
      <c r="C19" t="s">
        <v>9</v>
      </c>
      <c r="D19" t="s">
        <v>45</v>
      </c>
      <c r="E19" t="s">
        <v>48</v>
      </c>
      <c r="F19">
        <v>1</v>
      </c>
    </row>
    <row r="20" spans="1:6" x14ac:dyDescent="0.25">
      <c r="A20" t="s">
        <v>31</v>
      </c>
      <c r="B20" t="s">
        <v>3</v>
      </c>
      <c r="C20" t="s">
        <v>9</v>
      </c>
      <c r="D20" t="s">
        <v>38</v>
      </c>
      <c r="E20" t="s">
        <v>47</v>
      </c>
      <c r="F20">
        <v>1</v>
      </c>
    </row>
    <row r="21" spans="1:6" x14ac:dyDescent="0.25">
      <c r="A21" t="s">
        <v>31</v>
      </c>
      <c r="B21" t="s">
        <v>3</v>
      </c>
      <c r="C21" t="s">
        <v>9</v>
      </c>
      <c r="D21" t="s">
        <v>39</v>
      </c>
      <c r="E21" t="s">
        <v>47</v>
      </c>
      <c r="F21">
        <v>1</v>
      </c>
    </row>
    <row r="22" spans="1:6" x14ac:dyDescent="0.25">
      <c r="A22" t="s">
        <v>31</v>
      </c>
      <c r="B22" t="s">
        <v>3</v>
      </c>
      <c r="C22" t="s">
        <v>9</v>
      </c>
      <c r="D22" t="s">
        <v>40</v>
      </c>
      <c r="E22" t="s">
        <v>47</v>
      </c>
      <c r="F22">
        <v>1</v>
      </c>
    </row>
    <row r="23" spans="1:6" x14ac:dyDescent="0.25">
      <c r="A23" t="s">
        <v>31</v>
      </c>
      <c r="B23" t="s">
        <v>3</v>
      </c>
      <c r="C23" t="s">
        <v>9</v>
      </c>
      <c r="D23" t="s">
        <v>41</v>
      </c>
      <c r="E23" t="s">
        <v>25</v>
      </c>
      <c r="F23">
        <v>1</v>
      </c>
    </row>
    <row r="24" spans="1:6" x14ac:dyDescent="0.25">
      <c r="A24" t="s">
        <v>31</v>
      </c>
      <c r="B24" t="s">
        <v>3</v>
      </c>
      <c r="C24" t="s">
        <v>9</v>
      </c>
      <c r="D24" t="s">
        <v>42</v>
      </c>
      <c r="E24" t="s">
        <v>25</v>
      </c>
      <c r="F24">
        <v>1</v>
      </c>
    </row>
    <row r="25" spans="1:6" x14ac:dyDescent="0.25">
      <c r="A25" t="s">
        <v>31</v>
      </c>
      <c r="B25" t="s">
        <v>3</v>
      </c>
      <c r="C25" t="s">
        <v>9</v>
      </c>
      <c r="D25" t="s">
        <v>43</v>
      </c>
      <c r="E25" t="s">
        <v>25</v>
      </c>
      <c r="F25">
        <v>1</v>
      </c>
    </row>
    <row r="26" spans="1:6" x14ac:dyDescent="0.25">
      <c r="A26" t="s">
        <v>31</v>
      </c>
      <c r="B26" t="s">
        <v>3</v>
      </c>
      <c r="C26" t="s">
        <v>9</v>
      </c>
      <c r="D26" t="s">
        <v>44</v>
      </c>
      <c r="E26" t="s">
        <v>48</v>
      </c>
      <c r="F26">
        <v>1</v>
      </c>
    </row>
    <row r="27" spans="1:6" x14ac:dyDescent="0.25">
      <c r="A27" t="s">
        <v>31</v>
      </c>
      <c r="B27" t="s">
        <v>3</v>
      </c>
      <c r="C27" t="s">
        <v>9</v>
      </c>
      <c r="D27" t="s">
        <v>44</v>
      </c>
      <c r="E27" t="s">
        <v>25</v>
      </c>
      <c r="F27">
        <v>1</v>
      </c>
    </row>
    <row r="28" spans="1:6" x14ac:dyDescent="0.25">
      <c r="A28" t="s">
        <v>31</v>
      </c>
      <c r="B28" t="s">
        <v>3</v>
      </c>
      <c r="C28" t="s">
        <v>9</v>
      </c>
      <c r="D28" t="s">
        <v>45</v>
      </c>
      <c r="E28" t="s">
        <v>48</v>
      </c>
      <c r="F28">
        <v>1</v>
      </c>
    </row>
    <row r="29" spans="1:6" x14ac:dyDescent="0.25">
      <c r="A29" t="s">
        <v>28</v>
      </c>
      <c r="B29" t="s">
        <v>4</v>
      </c>
      <c r="C29" t="s">
        <v>9</v>
      </c>
      <c r="D29" t="s">
        <v>38</v>
      </c>
      <c r="E29" t="s">
        <v>47</v>
      </c>
      <c r="F29">
        <v>1</v>
      </c>
    </row>
    <row r="30" spans="1:6" x14ac:dyDescent="0.25">
      <c r="A30" t="s">
        <v>28</v>
      </c>
      <c r="B30" t="s">
        <v>4</v>
      </c>
      <c r="C30" t="s">
        <v>9</v>
      </c>
      <c r="D30" t="s">
        <v>39</v>
      </c>
      <c r="E30" t="s">
        <v>47</v>
      </c>
      <c r="F30">
        <v>1</v>
      </c>
    </row>
    <row r="31" spans="1:6" x14ac:dyDescent="0.25">
      <c r="A31" t="s">
        <v>28</v>
      </c>
      <c r="B31" t="s">
        <v>4</v>
      </c>
      <c r="C31" t="s">
        <v>9</v>
      </c>
      <c r="D31" t="s">
        <v>40</v>
      </c>
      <c r="E31" t="s">
        <v>47</v>
      </c>
      <c r="F31">
        <v>1</v>
      </c>
    </row>
    <row r="32" spans="1:6" x14ac:dyDescent="0.25">
      <c r="A32" t="s">
        <v>28</v>
      </c>
      <c r="B32" t="s">
        <v>4</v>
      </c>
      <c r="C32" t="s">
        <v>9</v>
      </c>
      <c r="D32" t="s">
        <v>41</v>
      </c>
      <c r="E32" t="s">
        <v>25</v>
      </c>
      <c r="F32">
        <v>1</v>
      </c>
    </row>
    <row r="33" spans="1:6" x14ac:dyDescent="0.25">
      <c r="A33" t="s">
        <v>28</v>
      </c>
      <c r="B33" t="s">
        <v>4</v>
      </c>
      <c r="C33" t="s">
        <v>9</v>
      </c>
      <c r="D33" t="s">
        <v>42</v>
      </c>
      <c r="E33" t="s">
        <v>25</v>
      </c>
      <c r="F33">
        <v>1</v>
      </c>
    </row>
    <row r="34" spans="1:6" x14ac:dyDescent="0.25">
      <c r="A34" t="s">
        <v>28</v>
      </c>
      <c r="B34" t="s">
        <v>4</v>
      </c>
      <c r="C34" t="s">
        <v>9</v>
      </c>
      <c r="D34" t="s">
        <v>43</v>
      </c>
      <c r="E34" t="s">
        <v>25</v>
      </c>
      <c r="F34">
        <v>1</v>
      </c>
    </row>
    <row r="35" spans="1:6" x14ac:dyDescent="0.25">
      <c r="A35" t="s">
        <v>28</v>
      </c>
      <c r="B35" t="s">
        <v>4</v>
      </c>
      <c r="C35" t="s">
        <v>9</v>
      </c>
      <c r="D35" t="s">
        <v>44</v>
      </c>
      <c r="E35" t="s">
        <v>48</v>
      </c>
      <c r="F35">
        <v>1</v>
      </c>
    </row>
    <row r="36" spans="1:6" x14ac:dyDescent="0.25">
      <c r="A36" t="s">
        <v>28</v>
      </c>
      <c r="B36" t="s">
        <v>4</v>
      </c>
      <c r="C36" t="s">
        <v>9</v>
      </c>
      <c r="D36" t="s">
        <v>44</v>
      </c>
      <c r="E36" t="s">
        <v>25</v>
      </c>
      <c r="F36">
        <v>1</v>
      </c>
    </row>
    <row r="37" spans="1:6" x14ac:dyDescent="0.25">
      <c r="A37" t="s">
        <v>28</v>
      </c>
      <c r="B37" t="s">
        <v>4</v>
      </c>
      <c r="C37" t="s">
        <v>9</v>
      </c>
      <c r="D37" t="s">
        <v>45</v>
      </c>
      <c r="E37" t="s">
        <v>48</v>
      </c>
      <c r="F37">
        <v>1</v>
      </c>
    </row>
    <row r="38" spans="1:6" x14ac:dyDescent="0.25">
      <c r="A38" t="s">
        <v>29</v>
      </c>
      <c r="B38" t="s">
        <v>4</v>
      </c>
      <c r="C38" t="s">
        <v>9</v>
      </c>
      <c r="D38" t="s">
        <v>38</v>
      </c>
      <c r="E38" t="s">
        <v>47</v>
      </c>
      <c r="F38">
        <v>1</v>
      </c>
    </row>
    <row r="39" spans="1:6" x14ac:dyDescent="0.25">
      <c r="A39" t="s">
        <v>29</v>
      </c>
      <c r="B39" t="s">
        <v>4</v>
      </c>
      <c r="C39" t="s">
        <v>9</v>
      </c>
      <c r="D39" t="s">
        <v>39</v>
      </c>
      <c r="E39" t="s">
        <v>47</v>
      </c>
      <c r="F39">
        <v>1</v>
      </c>
    </row>
    <row r="40" spans="1:6" x14ac:dyDescent="0.25">
      <c r="A40" t="s">
        <v>29</v>
      </c>
      <c r="B40" t="s">
        <v>4</v>
      </c>
      <c r="C40" t="s">
        <v>9</v>
      </c>
      <c r="D40" t="s">
        <v>40</v>
      </c>
      <c r="E40" t="s">
        <v>47</v>
      </c>
      <c r="F40">
        <v>1</v>
      </c>
    </row>
    <row r="41" spans="1:6" x14ac:dyDescent="0.25">
      <c r="A41" t="s">
        <v>29</v>
      </c>
      <c r="B41" t="s">
        <v>4</v>
      </c>
      <c r="C41" t="s">
        <v>9</v>
      </c>
      <c r="D41" t="s">
        <v>41</v>
      </c>
      <c r="E41" t="s">
        <v>25</v>
      </c>
      <c r="F41">
        <v>1</v>
      </c>
    </row>
    <row r="42" spans="1:6" x14ac:dyDescent="0.25">
      <c r="A42" t="s">
        <v>29</v>
      </c>
      <c r="B42" t="s">
        <v>4</v>
      </c>
      <c r="C42" t="s">
        <v>9</v>
      </c>
      <c r="D42" t="s">
        <v>42</v>
      </c>
      <c r="E42" t="s">
        <v>25</v>
      </c>
      <c r="F42">
        <v>1</v>
      </c>
    </row>
    <row r="43" spans="1:6" x14ac:dyDescent="0.25">
      <c r="A43" t="s">
        <v>29</v>
      </c>
      <c r="B43" t="s">
        <v>4</v>
      </c>
      <c r="C43" t="s">
        <v>9</v>
      </c>
      <c r="D43" t="s">
        <v>43</v>
      </c>
      <c r="E43" t="s">
        <v>25</v>
      </c>
      <c r="F43">
        <v>1</v>
      </c>
    </row>
    <row r="44" spans="1:6" x14ac:dyDescent="0.25">
      <c r="A44" t="s">
        <v>29</v>
      </c>
      <c r="B44" t="s">
        <v>4</v>
      </c>
      <c r="C44" t="s">
        <v>9</v>
      </c>
      <c r="D44" t="s">
        <v>44</v>
      </c>
      <c r="E44" t="s">
        <v>48</v>
      </c>
      <c r="F44">
        <v>1</v>
      </c>
    </row>
    <row r="45" spans="1:6" x14ac:dyDescent="0.25">
      <c r="A45" t="s">
        <v>29</v>
      </c>
      <c r="B45" t="s">
        <v>4</v>
      </c>
      <c r="C45" t="s">
        <v>9</v>
      </c>
      <c r="D45" t="s">
        <v>44</v>
      </c>
      <c r="E45" t="s">
        <v>25</v>
      </c>
      <c r="F45">
        <v>1</v>
      </c>
    </row>
    <row r="46" spans="1:6" x14ac:dyDescent="0.25">
      <c r="A46" t="s">
        <v>29</v>
      </c>
      <c r="B46" t="s">
        <v>4</v>
      </c>
      <c r="C46" t="s">
        <v>9</v>
      </c>
      <c r="D46" t="s">
        <v>45</v>
      </c>
      <c r="E46" t="s">
        <v>48</v>
      </c>
      <c r="F46">
        <v>1</v>
      </c>
    </row>
    <row r="47" spans="1:6" x14ac:dyDescent="0.25">
      <c r="A47" t="s">
        <v>31</v>
      </c>
      <c r="B47" t="s">
        <v>4</v>
      </c>
      <c r="C47" t="s">
        <v>9</v>
      </c>
      <c r="D47" t="s">
        <v>38</v>
      </c>
      <c r="E47" t="s">
        <v>47</v>
      </c>
      <c r="F47">
        <v>1</v>
      </c>
    </row>
    <row r="48" spans="1:6" x14ac:dyDescent="0.25">
      <c r="A48" t="s">
        <v>31</v>
      </c>
      <c r="B48" t="s">
        <v>4</v>
      </c>
      <c r="C48" t="s">
        <v>9</v>
      </c>
      <c r="D48" t="s">
        <v>39</v>
      </c>
      <c r="E48" t="s">
        <v>47</v>
      </c>
      <c r="F48">
        <v>1</v>
      </c>
    </row>
    <row r="49" spans="1:6" x14ac:dyDescent="0.25">
      <c r="A49" t="s">
        <v>31</v>
      </c>
      <c r="B49" t="s">
        <v>4</v>
      </c>
      <c r="C49" t="s">
        <v>9</v>
      </c>
      <c r="D49" t="s">
        <v>40</v>
      </c>
      <c r="E49" t="s">
        <v>47</v>
      </c>
      <c r="F49">
        <v>1</v>
      </c>
    </row>
    <row r="50" spans="1:6" x14ac:dyDescent="0.25">
      <c r="A50" t="s">
        <v>31</v>
      </c>
      <c r="B50" t="s">
        <v>4</v>
      </c>
      <c r="C50" t="s">
        <v>9</v>
      </c>
      <c r="D50" t="s">
        <v>41</v>
      </c>
      <c r="E50" t="s">
        <v>25</v>
      </c>
      <c r="F50">
        <v>1</v>
      </c>
    </row>
    <row r="51" spans="1:6" x14ac:dyDescent="0.25">
      <c r="A51" t="s">
        <v>31</v>
      </c>
      <c r="B51" t="s">
        <v>4</v>
      </c>
      <c r="C51" t="s">
        <v>9</v>
      </c>
      <c r="D51" t="s">
        <v>42</v>
      </c>
      <c r="E51" t="s">
        <v>25</v>
      </c>
      <c r="F51">
        <v>1</v>
      </c>
    </row>
    <row r="52" spans="1:6" x14ac:dyDescent="0.25">
      <c r="A52" t="s">
        <v>31</v>
      </c>
      <c r="B52" t="s">
        <v>4</v>
      </c>
      <c r="C52" t="s">
        <v>9</v>
      </c>
      <c r="D52" t="s">
        <v>43</v>
      </c>
      <c r="E52" t="s">
        <v>25</v>
      </c>
      <c r="F52">
        <v>1</v>
      </c>
    </row>
    <row r="53" spans="1:6" x14ac:dyDescent="0.25">
      <c r="A53" t="s">
        <v>31</v>
      </c>
      <c r="B53" t="s">
        <v>4</v>
      </c>
      <c r="C53" t="s">
        <v>9</v>
      </c>
      <c r="D53" t="s">
        <v>44</v>
      </c>
      <c r="E53" t="s">
        <v>48</v>
      </c>
      <c r="F53">
        <v>1</v>
      </c>
    </row>
    <row r="54" spans="1:6" x14ac:dyDescent="0.25">
      <c r="A54" t="s">
        <v>31</v>
      </c>
      <c r="B54" t="s">
        <v>4</v>
      </c>
      <c r="C54" t="s">
        <v>9</v>
      </c>
      <c r="D54" t="s">
        <v>44</v>
      </c>
      <c r="E54" t="s">
        <v>25</v>
      </c>
      <c r="F54">
        <v>1</v>
      </c>
    </row>
    <row r="55" spans="1:6" x14ac:dyDescent="0.25">
      <c r="A55" t="s">
        <v>31</v>
      </c>
      <c r="B55" t="s">
        <v>4</v>
      </c>
      <c r="C55" t="s">
        <v>9</v>
      </c>
      <c r="D55" t="s">
        <v>45</v>
      </c>
      <c r="E55" t="s">
        <v>48</v>
      </c>
      <c r="F55">
        <v>1</v>
      </c>
    </row>
    <row r="56" spans="1:6" x14ac:dyDescent="0.25">
      <c r="A56" t="s">
        <v>28</v>
      </c>
      <c r="B56" t="s">
        <v>5</v>
      </c>
      <c r="C56" t="s">
        <v>9</v>
      </c>
      <c r="D56" t="s">
        <v>38</v>
      </c>
      <c r="E56" t="s">
        <v>47</v>
      </c>
      <c r="F56">
        <v>1</v>
      </c>
    </row>
    <row r="57" spans="1:6" x14ac:dyDescent="0.25">
      <c r="A57" t="s">
        <v>28</v>
      </c>
      <c r="B57" t="s">
        <v>5</v>
      </c>
      <c r="C57" t="s">
        <v>9</v>
      </c>
      <c r="D57" t="s">
        <v>39</v>
      </c>
      <c r="E57" t="s">
        <v>47</v>
      </c>
      <c r="F57">
        <v>1</v>
      </c>
    </row>
    <row r="58" spans="1:6" x14ac:dyDescent="0.25">
      <c r="A58" t="s">
        <v>28</v>
      </c>
      <c r="B58" t="s">
        <v>5</v>
      </c>
      <c r="C58" t="s">
        <v>9</v>
      </c>
      <c r="D58" t="s">
        <v>40</v>
      </c>
      <c r="E58" t="s">
        <v>47</v>
      </c>
      <c r="F58">
        <v>1</v>
      </c>
    </row>
    <row r="59" spans="1:6" x14ac:dyDescent="0.25">
      <c r="A59" t="s">
        <v>28</v>
      </c>
      <c r="B59" t="s">
        <v>5</v>
      </c>
      <c r="C59" t="s">
        <v>9</v>
      </c>
      <c r="D59" t="s">
        <v>41</v>
      </c>
      <c r="E59" t="s">
        <v>25</v>
      </c>
      <c r="F59">
        <v>1</v>
      </c>
    </row>
    <row r="60" spans="1:6" x14ac:dyDescent="0.25">
      <c r="A60" t="s">
        <v>28</v>
      </c>
      <c r="B60" t="s">
        <v>5</v>
      </c>
      <c r="C60" t="s">
        <v>9</v>
      </c>
      <c r="D60" t="s">
        <v>42</v>
      </c>
      <c r="E60" t="s">
        <v>25</v>
      </c>
      <c r="F60">
        <v>1</v>
      </c>
    </row>
    <row r="61" spans="1:6" x14ac:dyDescent="0.25">
      <c r="A61" t="s">
        <v>28</v>
      </c>
      <c r="B61" t="s">
        <v>5</v>
      </c>
      <c r="C61" t="s">
        <v>9</v>
      </c>
      <c r="D61" t="s">
        <v>43</v>
      </c>
      <c r="E61" t="s">
        <v>25</v>
      </c>
      <c r="F61">
        <v>1</v>
      </c>
    </row>
    <row r="62" spans="1:6" x14ac:dyDescent="0.25">
      <c r="A62" t="s">
        <v>28</v>
      </c>
      <c r="B62" t="s">
        <v>5</v>
      </c>
      <c r="C62" t="s">
        <v>9</v>
      </c>
      <c r="D62" t="s">
        <v>44</v>
      </c>
      <c r="E62" t="s">
        <v>48</v>
      </c>
      <c r="F62">
        <v>1</v>
      </c>
    </row>
    <row r="63" spans="1:6" x14ac:dyDescent="0.25">
      <c r="A63" t="s">
        <v>28</v>
      </c>
      <c r="B63" t="s">
        <v>5</v>
      </c>
      <c r="C63" t="s">
        <v>9</v>
      </c>
      <c r="D63" t="s">
        <v>44</v>
      </c>
      <c r="E63" t="s">
        <v>25</v>
      </c>
      <c r="F63">
        <v>1</v>
      </c>
    </row>
    <row r="64" spans="1:6" x14ac:dyDescent="0.25">
      <c r="A64" t="s">
        <v>28</v>
      </c>
      <c r="B64" t="s">
        <v>5</v>
      </c>
      <c r="C64" t="s">
        <v>9</v>
      </c>
      <c r="D64" t="s">
        <v>45</v>
      </c>
      <c r="E64" t="s">
        <v>48</v>
      </c>
      <c r="F64">
        <v>1</v>
      </c>
    </row>
    <row r="65" spans="1:6" x14ac:dyDescent="0.25">
      <c r="A65" t="s">
        <v>29</v>
      </c>
      <c r="B65" t="s">
        <v>5</v>
      </c>
      <c r="C65" t="s">
        <v>9</v>
      </c>
      <c r="D65" t="s">
        <v>38</v>
      </c>
      <c r="E65" t="s">
        <v>47</v>
      </c>
      <c r="F65">
        <v>1</v>
      </c>
    </row>
    <row r="66" spans="1:6" x14ac:dyDescent="0.25">
      <c r="A66" t="s">
        <v>29</v>
      </c>
      <c r="B66" t="s">
        <v>5</v>
      </c>
      <c r="C66" t="s">
        <v>9</v>
      </c>
      <c r="D66" t="s">
        <v>39</v>
      </c>
      <c r="E66" t="s">
        <v>47</v>
      </c>
      <c r="F66">
        <v>1</v>
      </c>
    </row>
    <row r="67" spans="1:6" x14ac:dyDescent="0.25">
      <c r="A67" t="s">
        <v>29</v>
      </c>
      <c r="B67" t="s">
        <v>5</v>
      </c>
      <c r="C67" t="s">
        <v>9</v>
      </c>
      <c r="D67" t="s">
        <v>40</v>
      </c>
      <c r="E67" t="s">
        <v>47</v>
      </c>
      <c r="F67">
        <v>1</v>
      </c>
    </row>
    <row r="68" spans="1:6" x14ac:dyDescent="0.25">
      <c r="A68" t="s">
        <v>29</v>
      </c>
      <c r="B68" t="s">
        <v>5</v>
      </c>
      <c r="C68" t="s">
        <v>9</v>
      </c>
      <c r="D68" t="s">
        <v>41</v>
      </c>
      <c r="E68" t="s">
        <v>25</v>
      </c>
      <c r="F68">
        <v>1</v>
      </c>
    </row>
    <row r="69" spans="1:6" x14ac:dyDescent="0.25">
      <c r="A69" t="s">
        <v>29</v>
      </c>
      <c r="B69" t="s">
        <v>5</v>
      </c>
      <c r="C69" t="s">
        <v>9</v>
      </c>
      <c r="D69" t="s">
        <v>42</v>
      </c>
      <c r="E69" t="s">
        <v>25</v>
      </c>
      <c r="F69">
        <v>1</v>
      </c>
    </row>
    <row r="70" spans="1:6" x14ac:dyDescent="0.25">
      <c r="A70" t="s">
        <v>29</v>
      </c>
      <c r="B70" t="s">
        <v>5</v>
      </c>
      <c r="C70" t="s">
        <v>9</v>
      </c>
      <c r="D70" t="s">
        <v>43</v>
      </c>
      <c r="E70" t="s">
        <v>25</v>
      </c>
      <c r="F70">
        <v>1</v>
      </c>
    </row>
    <row r="71" spans="1:6" x14ac:dyDescent="0.25">
      <c r="A71" t="s">
        <v>29</v>
      </c>
      <c r="B71" t="s">
        <v>5</v>
      </c>
      <c r="C71" t="s">
        <v>9</v>
      </c>
      <c r="D71" t="s">
        <v>44</v>
      </c>
      <c r="E71" t="s">
        <v>48</v>
      </c>
      <c r="F71">
        <v>1</v>
      </c>
    </row>
    <row r="72" spans="1:6" x14ac:dyDescent="0.25">
      <c r="A72" t="s">
        <v>29</v>
      </c>
      <c r="B72" t="s">
        <v>5</v>
      </c>
      <c r="C72" t="s">
        <v>9</v>
      </c>
      <c r="D72" t="s">
        <v>44</v>
      </c>
      <c r="E72" t="s">
        <v>25</v>
      </c>
      <c r="F72">
        <v>1</v>
      </c>
    </row>
    <row r="73" spans="1:6" x14ac:dyDescent="0.25">
      <c r="A73" t="s">
        <v>29</v>
      </c>
      <c r="B73" t="s">
        <v>5</v>
      </c>
      <c r="C73" t="s">
        <v>9</v>
      </c>
      <c r="D73" t="s">
        <v>45</v>
      </c>
      <c r="E73" t="s">
        <v>48</v>
      </c>
      <c r="F73">
        <v>1</v>
      </c>
    </row>
    <row r="74" spans="1:6" x14ac:dyDescent="0.25">
      <c r="A74" t="s">
        <v>31</v>
      </c>
      <c r="B74" t="s">
        <v>5</v>
      </c>
      <c r="C74" t="s">
        <v>9</v>
      </c>
      <c r="D74" t="s">
        <v>38</v>
      </c>
      <c r="E74" t="s">
        <v>47</v>
      </c>
      <c r="F74">
        <v>1</v>
      </c>
    </row>
    <row r="75" spans="1:6" x14ac:dyDescent="0.25">
      <c r="A75" t="s">
        <v>31</v>
      </c>
      <c r="B75" t="s">
        <v>5</v>
      </c>
      <c r="C75" t="s">
        <v>9</v>
      </c>
      <c r="D75" t="s">
        <v>39</v>
      </c>
      <c r="E75" t="s">
        <v>47</v>
      </c>
      <c r="F75">
        <v>1</v>
      </c>
    </row>
    <row r="76" spans="1:6" x14ac:dyDescent="0.25">
      <c r="A76" t="s">
        <v>31</v>
      </c>
      <c r="B76" t="s">
        <v>5</v>
      </c>
      <c r="C76" t="s">
        <v>9</v>
      </c>
      <c r="D76" t="s">
        <v>40</v>
      </c>
      <c r="E76" t="s">
        <v>47</v>
      </c>
      <c r="F76">
        <v>1</v>
      </c>
    </row>
    <row r="77" spans="1:6" x14ac:dyDescent="0.25">
      <c r="A77" t="s">
        <v>31</v>
      </c>
      <c r="B77" t="s">
        <v>5</v>
      </c>
      <c r="C77" t="s">
        <v>9</v>
      </c>
      <c r="D77" t="s">
        <v>41</v>
      </c>
      <c r="E77" t="s">
        <v>25</v>
      </c>
      <c r="F77">
        <v>1</v>
      </c>
    </row>
    <row r="78" spans="1:6" x14ac:dyDescent="0.25">
      <c r="A78" t="s">
        <v>31</v>
      </c>
      <c r="B78" t="s">
        <v>5</v>
      </c>
      <c r="C78" t="s">
        <v>9</v>
      </c>
      <c r="D78" t="s">
        <v>42</v>
      </c>
      <c r="E78" t="s">
        <v>25</v>
      </c>
      <c r="F78">
        <v>1</v>
      </c>
    </row>
    <row r="79" spans="1:6" x14ac:dyDescent="0.25">
      <c r="A79" t="s">
        <v>31</v>
      </c>
      <c r="B79" t="s">
        <v>5</v>
      </c>
      <c r="C79" t="s">
        <v>9</v>
      </c>
      <c r="D79" t="s">
        <v>43</v>
      </c>
      <c r="E79" t="s">
        <v>25</v>
      </c>
      <c r="F79">
        <v>1</v>
      </c>
    </row>
    <row r="80" spans="1:6" x14ac:dyDescent="0.25">
      <c r="A80" t="s">
        <v>31</v>
      </c>
      <c r="B80" t="s">
        <v>5</v>
      </c>
      <c r="C80" t="s">
        <v>9</v>
      </c>
      <c r="D80" t="s">
        <v>44</v>
      </c>
      <c r="E80" t="s">
        <v>48</v>
      </c>
      <c r="F80">
        <v>1</v>
      </c>
    </row>
    <row r="81" spans="1:6" x14ac:dyDescent="0.25">
      <c r="A81" t="s">
        <v>31</v>
      </c>
      <c r="B81" t="s">
        <v>5</v>
      </c>
      <c r="C81" t="s">
        <v>9</v>
      </c>
      <c r="D81" t="s">
        <v>44</v>
      </c>
      <c r="E81" t="s">
        <v>25</v>
      </c>
      <c r="F81">
        <v>1</v>
      </c>
    </row>
    <row r="82" spans="1:6" x14ac:dyDescent="0.25">
      <c r="A82" t="s">
        <v>31</v>
      </c>
      <c r="B82" t="s">
        <v>5</v>
      </c>
      <c r="C82" t="s">
        <v>9</v>
      </c>
      <c r="D82" t="s">
        <v>45</v>
      </c>
      <c r="E82" t="s">
        <v>48</v>
      </c>
      <c r="F82">
        <v>1</v>
      </c>
    </row>
    <row r="83" spans="1:6" x14ac:dyDescent="0.25">
      <c r="A83" t="s">
        <v>28</v>
      </c>
      <c r="B83" t="s">
        <v>6</v>
      </c>
      <c r="C83" t="s">
        <v>9</v>
      </c>
      <c r="D83" t="s">
        <v>38</v>
      </c>
      <c r="E83" t="s">
        <v>47</v>
      </c>
      <c r="F83">
        <v>1</v>
      </c>
    </row>
    <row r="84" spans="1:6" x14ac:dyDescent="0.25">
      <c r="A84" t="s">
        <v>28</v>
      </c>
      <c r="B84" t="s">
        <v>6</v>
      </c>
      <c r="C84" t="s">
        <v>9</v>
      </c>
      <c r="D84" t="s">
        <v>39</v>
      </c>
      <c r="E84" t="s">
        <v>47</v>
      </c>
      <c r="F84">
        <v>1</v>
      </c>
    </row>
    <row r="85" spans="1:6" x14ac:dyDescent="0.25">
      <c r="A85" t="s">
        <v>28</v>
      </c>
      <c r="B85" t="s">
        <v>6</v>
      </c>
      <c r="C85" t="s">
        <v>9</v>
      </c>
      <c r="D85" t="s">
        <v>40</v>
      </c>
      <c r="E85" t="s">
        <v>47</v>
      </c>
      <c r="F85">
        <v>1</v>
      </c>
    </row>
    <row r="86" spans="1:6" x14ac:dyDescent="0.25">
      <c r="A86" t="s">
        <v>28</v>
      </c>
      <c r="B86" t="s">
        <v>6</v>
      </c>
      <c r="C86" t="s">
        <v>9</v>
      </c>
      <c r="D86" t="s">
        <v>41</v>
      </c>
      <c r="E86" t="s">
        <v>25</v>
      </c>
      <c r="F86">
        <v>1</v>
      </c>
    </row>
    <row r="87" spans="1:6" x14ac:dyDescent="0.25">
      <c r="A87" t="s">
        <v>28</v>
      </c>
      <c r="B87" t="s">
        <v>6</v>
      </c>
      <c r="C87" t="s">
        <v>9</v>
      </c>
      <c r="D87" t="s">
        <v>42</v>
      </c>
      <c r="E87" t="s">
        <v>25</v>
      </c>
      <c r="F87">
        <v>1</v>
      </c>
    </row>
    <row r="88" spans="1:6" x14ac:dyDescent="0.25">
      <c r="A88" t="s">
        <v>28</v>
      </c>
      <c r="B88" t="s">
        <v>6</v>
      </c>
      <c r="C88" t="s">
        <v>9</v>
      </c>
      <c r="D88" t="s">
        <v>43</v>
      </c>
      <c r="E88" t="s">
        <v>25</v>
      </c>
      <c r="F88">
        <v>1</v>
      </c>
    </row>
    <row r="89" spans="1:6" x14ac:dyDescent="0.25">
      <c r="A89" t="s">
        <v>28</v>
      </c>
      <c r="B89" t="s">
        <v>6</v>
      </c>
      <c r="C89" t="s">
        <v>9</v>
      </c>
      <c r="D89" t="s">
        <v>44</v>
      </c>
      <c r="E89" t="s">
        <v>48</v>
      </c>
      <c r="F89">
        <v>1</v>
      </c>
    </row>
    <row r="90" spans="1:6" x14ac:dyDescent="0.25">
      <c r="A90" t="s">
        <v>28</v>
      </c>
      <c r="B90" t="s">
        <v>6</v>
      </c>
      <c r="C90" t="s">
        <v>9</v>
      </c>
      <c r="D90" t="s">
        <v>44</v>
      </c>
      <c r="E90" t="s">
        <v>25</v>
      </c>
      <c r="F90">
        <v>1</v>
      </c>
    </row>
    <row r="91" spans="1:6" x14ac:dyDescent="0.25">
      <c r="A91" t="s">
        <v>28</v>
      </c>
      <c r="B91" t="s">
        <v>6</v>
      </c>
      <c r="C91" t="s">
        <v>9</v>
      </c>
      <c r="D91" t="s">
        <v>45</v>
      </c>
      <c r="E91" t="s">
        <v>48</v>
      </c>
      <c r="F91">
        <v>1</v>
      </c>
    </row>
    <row r="92" spans="1:6" x14ac:dyDescent="0.25">
      <c r="A92" t="s">
        <v>29</v>
      </c>
      <c r="B92" t="s">
        <v>6</v>
      </c>
      <c r="C92" t="s">
        <v>9</v>
      </c>
      <c r="D92" t="s">
        <v>38</v>
      </c>
      <c r="E92" t="s">
        <v>47</v>
      </c>
      <c r="F92">
        <v>1</v>
      </c>
    </row>
    <row r="93" spans="1:6" x14ac:dyDescent="0.25">
      <c r="A93" t="s">
        <v>29</v>
      </c>
      <c r="B93" t="s">
        <v>6</v>
      </c>
      <c r="C93" t="s">
        <v>9</v>
      </c>
      <c r="D93" t="s">
        <v>39</v>
      </c>
      <c r="E93" t="s">
        <v>47</v>
      </c>
      <c r="F93">
        <v>1</v>
      </c>
    </row>
    <row r="94" spans="1:6" x14ac:dyDescent="0.25">
      <c r="A94" t="s">
        <v>29</v>
      </c>
      <c r="B94" t="s">
        <v>6</v>
      </c>
      <c r="C94" t="s">
        <v>9</v>
      </c>
      <c r="D94" t="s">
        <v>40</v>
      </c>
      <c r="E94" t="s">
        <v>47</v>
      </c>
      <c r="F94">
        <v>1</v>
      </c>
    </row>
    <row r="95" spans="1:6" x14ac:dyDescent="0.25">
      <c r="A95" t="s">
        <v>29</v>
      </c>
      <c r="B95" t="s">
        <v>6</v>
      </c>
      <c r="C95" t="s">
        <v>9</v>
      </c>
      <c r="D95" t="s">
        <v>41</v>
      </c>
      <c r="E95" t="s">
        <v>25</v>
      </c>
      <c r="F95">
        <v>1</v>
      </c>
    </row>
    <row r="96" spans="1:6" x14ac:dyDescent="0.25">
      <c r="A96" t="s">
        <v>29</v>
      </c>
      <c r="B96" t="s">
        <v>6</v>
      </c>
      <c r="C96" t="s">
        <v>9</v>
      </c>
      <c r="D96" t="s">
        <v>42</v>
      </c>
      <c r="E96" t="s">
        <v>25</v>
      </c>
      <c r="F96">
        <v>1</v>
      </c>
    </row>
    <row r="97" spans="1:6" x14ac:dyDescent="0.25">
      <c r="A97" t="s">
        <v>29</v>
      </c>
      <c r="B97" t="s">
        <v>6</v>
      </c>
      <c r="C97" t="s">
        <v>9</v>
      </c>
      <c r="D97" t="s">
        <v>43</v>
      </c>
      <c r="E97" t="s">
        <v>25</v>
      </c>
      <c r="F97">
        <v>1</v>
      </c>
    </row>
    <row r="98" spans="1:6" x14ac:dyDescent="0.25">
      <c r="A98" t="s">
        <v>29</v>
      </c>
      <c r="B98" t="s">
        <v>6</v>
      </c>
      <c r="C98" t="s">
        <v>9</v>
      </c>
      <c r="D98" t="s">
        <v>44</v>
      </c>
      <c r="E98" t="s">
        <v>48</v>
      </c>
      <c r="F98">
        <v>1</v>
      </c>
    </row>
    <row r="99" spans="1:6" x14ac:dyDescent="0.25">
      <c r="A99" t="s">
        <v>29</v>
      </c>
      <c r="B99" t="s">
        <v>6</v>
      </c>
      <c r="C99" t="s">
        <v>9</v>
      </c>
      <c r="D99" t="s">
        <v>44</v>
      </c>
      <c r="E99" t="s">
        <v>25</v>
      </c>
      <c r="F99">
        <v>1</v>
      </c>
    </row>
    <row r="100" spans="1:6" x14ac:dyDescent="0.25">
      <c r="A100" t="s">
        <v>29</v>
      </c>
      <c r="B100" t="s">
        <v>6</v>
      </c>
      <c r="C100" t="s">
        <v>9</v>
      </c>
      <c r="D100" t="s">
        <v>45</v>
      </c>
      <c r="E100" t="s">
        <v>48</v>
      </c>
      <c r="F100">
        <v>1</v>
      </c>
    </row>
    <row r="101" spans="1:6" x14ac:dyDescent="0.25">
      <c r="A101" t="s">
        <v>31</v>
      </c>
      <c r="B101" t="s">
        <v>6</v>
      </c>
      <c r="C101" t="s">
        <v>9</v>
      </c>
      <c r="D101" t="s">
        <v>38</v>
      </c>
      <c r="E101" t="s">
        <v>47</v>
      </c>
      <c r="F101">
        <v>1</v>
      </c>
    </row>
    <row r="102" spans="1:6" x14ac:dyDescent="0.25">
      <c r="A102" t="s">
        <v>31</v>
      </c>
      <c r="B102" t="s">
        <v>6</v>
      </c>
      <c r="C102" t="s">
        <v>9</v>
      </c>
      <c r="D102" t="s">
        <v>39</v>
      </c>
      <c r="E102" t="s">
        <v>47</v>
      </c>
      <c r="F102">
        <v>1</v>
      </c>
    </row>
    <row r="103" spans="1:6" x14ac:dyDescent="0.25">
      <c r="A103" t="s">
        <v>31</v>
      </c>
      <c r="B103" t="s">
        <v>6</v>
      </c>
      <c r="C103" t="s">
        <v>9</v>
      </c>
      <c r="D103" t="s">
        <v>40</v>
      </c>
      <c r="E103" t="s">
        <v>47</v>
      </c>
      <c r="F103">
        <v>1</v>
      </c>
    </row>
    <row r="104" spans="1:6" x14ac:dyDescent="0.25">
      <c r="A104" t="s">
        <v>31</v>
      </c>
      <c r="B104" t="s">
        <v>6</v>
      </c>
      <c r="C104" t="s">
        <v>9</v>
      </c>
      <c r="D104" t="s">
        <v>41</v>
      </c>
      <c r="E104" t="s">
        <v>25</v>
      </c>
      <c r="F104">
        <v>1</v>
      </c>
    </row>
    <row r="105" spans="1:6" x14ac:dyDescent="0.25">
      <c r="A105" t="s">
        <v>31</v>
      </c>
      <c r="B105" t="s">
        <v>6</v>
      </c>
      <c r="C105" t="s">
        <v>9</v>
      </c>
      <c r="D105" t="s">
        <v>42</v>
      </c>
      <c r="E105" t="s">
        <v>25</v>
      </c>
      <c r="F105">
        <v>1</v>
      </c>
    </row>
    <row r="106" spans="1:6" x14ac:dyDescent="0.25">
      <c r="A106" t="s">
        <v>31</v>
      </c>
      <c r="B106" t="s">
        <v>6</v>
      </c>
      <c r="C106" t="s">
        <v>9</v>
      </c>
      <c r="D106" t="s">
        <v>43</v>
      </c>
      <c r="E106" t="s">
        <v>25</v>
      </c>
      <c r="F106">
        <v>1</v>
      </c>
    </row>
    <row r="107" spans="1:6" x14ac:dyDescent="0.25">
      <c r="A107" t="s">
        <v>31</v>
      </c>
      <c r="B107" t="s">
        <v>6</v>
      </c>
      <c r="C107" t="s">
        <v>9</v>
      </c>
      <c r="D107" t="s">
        <v>44</v>
      </c>
      <c r="E107" t="s">
        <v>48</v>
      </c>
      <c r="F107">
        <v>1</v>
      </c>
    </row>
    <row r="108" spans="1:6" x14ac:dyDescent="0.25">
      <c r="A108" t="s">
        <v>31</v>
      </c>
      <c r="B108" t="s">
        <v>6</v>
      </c>
      <c r="C108" t="s">
        <v>9</v>
      </c>
      <c r="D108" t="s">
        <v>44</v>
      </c>
      <c r="E108" t="s">
        <v>25</v>
      </c>
      <c r="F108">
        <v>1</v>
      </c>
    </row>
    <row r="109" spans="1:6" x14ac:dyDescent="0.25">
      <c r="A109" t="s">
        <v>31</v>
      </c>
      <c r="B109" t="s">
        <v>6</v>
      </c>
      <c r="C109" t="s">
        <v>9</v>
      </c>
      <c r="D109" t="s">
        <v>45</v>
      </c>
      <c r="E109" t="s">
        <v>48</v>
      </c>
      <c r="F109">
        <v>1</v>
      </c>
    </row>
    <row r="110" spans="1:6" x14ac:dyDescent="0.25">
      <c r="A110" t="s">
        <v>28</v>
      </c>
      <c r="B110" t="s">
        <v>7</v>
      </c>
      <c r="C110" t="s">
        <v>9</v>
      </c>
      <c r="D110" t="s">
        <v>38</v>
      </c>
      <c r="E110" t="s">
        <v>47</v>
      </c>
      <c r="F110">
        <v>1</v>
      </c>
    </row>
    <row r="111" spans="1:6" x14ac:dyDescent="0.25">
      <c r="A111" t="s">
        <v>28</v>
      </c>
      <c r="B111" t="s">
        <v>7</v>
      </c>
      <c r="C111" t="s">
        <v>9</v>
      </c>
      <c r="D111" t="s">
        <v>39</v>
      </c>
      <c r="E111" t="s">
        <v>47</v>
      </c>
      <c r="F111">
        <v>1</v>
      </c>
    </row>
    <row r="112" spans="1:6" x14ac:dyDescent="0.25">
      <c r="A112" t="s">
        <v>28</v>
      </c>
      <c r="B112" t="s">
        <v>7</v>
      </c>
      <c r="C112" t="s">
        <v>9</v>
      </c>
      <c r="D112" t="s">
        <v>40</v>
      </c>
      <c r="E112" t="s">
        <v>47</v>
      </c>
      <c r="F112">
        <v>1</v>
      </c>
    </row>
    <row r="113" spans="1:6" x14ac:dyDescent="0.25">
      <c r="A113" t="s">
        <v>28</v>
      </c>
      <c r="B113" t="s">
        <v>7</v>
      </c>
      <c r="C113" t="s">
        <v>9</v>
      </c>
      <c r="D113" t="s">
        <v>41</v>
      </c>
      <c r="E113" t="s">
        <v>25</v>
      </c>
      <c r="F113">
        <v>1</v>
      </c>
    </row>
    <row r="114" spans="1:6" x14ac:dyDescent="0.25">
      <c r="A114" t="s">
        <v>28</v>
      </c>
      <c r="B114" t="s">
        <v>7</v>
      </c>
      <c r="C114" t="s">
        <v>9</v>
      </c>
      <c r="D114" t="s">
        <v>42</v>
      </c>
      <c r="E114" t="s">
        <v>25</v>
      </c>
      <c r="F114">
        <v>1</v>
      </c>
    </row>
    <row r="115" spans="1:6" x14ac:dyDescent="0.25">
      <c r="A115" t="s">
        <v>28</v>
      </c>
      <c r="B115" t="s">
        <v>7</v>
      </c>
      <c r="C115" t="s">
        <v>9</v>
      </c>
      <c r="D115" t="s">
        <v>43</v>
      </c>
      <c r="E115" t="s">
        <v>25</v>
      </c>
      <c r="F115">
        <v>1</v>
      </c>
    </row>
    <row r="116" spans="1:6" x14ac:dyDescent="0.25">
      <c r="A116" t="s">
        <v>28</v>
      </c>
      <c r="B116" t="s">
        <v>7</v>
      </c>
      <c r="C116" t="s">
        <v>9</v>
      </c>
      <c r="D116" t="s">
        <v>44</v>
      </c>
      <c r="E116" t="s">
        <v>48</v>
      </c>
      <c r="F116">
        <v>1</v>
      </c>
    </row>
    <row r="117" spans="1:6" x14ac:dyDescent="0.25">
      <c r="A117" t="s">
        <v>28</v>
      </c>
      <c r="B117" t="s">
        <v>7</v>
      </c>
      <c r="C117" t="s">
        <v>9</v>
      </c>
      <c r="D117" t="s">
        <v>44</v>
      </c>
      <c r="E117" t="s">
        <v>25</v>
      </c>
      <c r="F117">
        <v>1</v>
      </c>
    </row>
    <row r="118" spans="1:6" x14ac:dyDescent="0.25">
      <c r="A118" t="s">
        <v>28</v>
      </c>
      <c r="B118" t="s">
        <v>7</v>
      </c>
      <c r="C118" t="s">
        <v>9</v>
      </c>
      <c r="D118" t="s">
        <v>45</v>
      </c>
      <c r="E118" t="s">
        <v>48</v>
      </c>
      <c r="F118">
        <v>1</v>
      </c>
    </row>
    <row r="119" spans="1:6" x14ac:dyDescent="0.25">
      <c r="A119" t="s">
        <v>29</v>
      </c>
      <c r="B119" t="s">
        <v>7</v>
      </c>
      <c r="C119" t="s">
        <v>9</v>
      </c>
      <c r="D119" t="s">
        <v>38</v>
      </c>
      <c r="E119" t="s">
        <v>47</v>
      </c>
      <c r="F119">
        <v>1</v>
      </c>
    </row>
    <row r="120" spans="1:6" x14ac:dyDescent="0.25">
      <c r="A120" t="s">
        <v>29</v>
      </c>
      <c r="B120" t="s">
        <v>7</v>
      </c>
      <c r="C120" t="s">
        <v>9</v>
      </c>
      <c r="D120" t="s">
        <v>39</v>
      </c>
      <c r="E120" t="s">
        <v>47</v>
      </c>
      <c r="F120">
        <v>1</v>
      </c>
    </row>
    <row r="121" spans="1:6" x14ac:dyDescent="0.25">
      <c r="A121" t="s">
        <v>29</v>
      </c>
      <c r="B121" t="s">
        <v>7</v>
      </c>
      <c r="C121" t="s">
        <v>9</v>
      </c>
      <c r="D121" t="s">
        <v>40</v>
      </c>
      <c r="E121" t="s">
        <v>47</v>
      </c>
      <c r="F121">
        <v>1</v>
      </c>
    </row>
    <row r="122" spans="1:6" x14ac:dyDescent="0.25">
      <c r="A122" t="s">
        <v>29</v>
      </c>
      <c r="B122" t="s">
        <v>7</v>
      </c>
      <c r="C122" t="s">
        <v>9</v>
      </c>
      <c r="D122" t="s">
        <v>41</v>
      </c>
      <c r="E122" t="s">
        <v>25</v>
      </c>
      <c r="F122">
        <v>1</v>
      </c>
    </row>
    <row r="123" spans="1:6" x14ac:dyDescent="0.25">
      <c r="A123" t="s">
        <v>29</v>
      </c>
      <c r="B123" t="s">
        <v>7</v>
      </c>
      <c r="C123" t="s">
        <v>9</v>
      </c>
      <c r="D123" t="s">
        <v>42</v>
      </c>
      <c r="E123" t="s">
        <v>25</v>
      </c>
      <c r="F123">
        <v>1</v>
      </c>
    </row>
    <row r="124" spans="1:6" x14ac:dyDescent="0.25">
      <c r="A124" t="s">
        <v>29</v>
      </c>
      <c r="B124" t="s">
        <v>7</v>
      </c>
      <c r="C124" t="s">
        <v>9</v>
      </c>
      <c r="D124" t="s">
        <v>43</v>
      </c>
      <c r="E124" t="s">
        <v>25</v>
      </c>
      <c r="F124">
        <v>1</v>
      </c>
    </row>
    <row r="125" spans="1:6" x14ac:dyDescent="0.25">
      <c r="A125" t="s">
        <v>29</v>
      </c>
      <c r="B125" t="s">
        <v>7</v>
      </c>
      <c r="C125" t="s">
        <v>9</v>
      </c>
      <c r="D125" t="s">
        <v>44</v>
      </c>
      <c r="E125" t="s">
        <v>48</v>
      </c>
      <c r="F125">
        <v>1</v>
      </c>
    </row>
    <row r="126" spans="1:6" x14ac:dyDescent="0.25">
      <c r="A126" t="s">
        <v>29</v>
      </c>
      <c r="B126" t="s">
        <v>7</v>
      </c>
      <c r="C126" t="s">
        <v>9</v>
      </c>
      <c r="D126" t="s">
        <v>44</v>
      </c>
      <c r="E126" t="s">
        <v>25</v>
      </c>
      <c r="F126">
        <v>1</v>
      </c>
    </row>
    <row r="127" spans="1:6" x14ac:dyDescent="0.25">
      <c r="A127" t="s">
        <v>29</v>
      </c>
      <c r="B127" t="s">
        <v>7</v>
      </c>
      <c r="C127" t="s">
        <v>9</v>
      </c>
      <c r="D127" t="s">
        <v>45</v>
      </c>
      <c r="E127" t="s">
        <v>48</v>
      </c>
      <c r="F127">
        <v>1</v>
      </c>
    </row>
    <row r="128" spans="1:6" x14ac:dyDescent="0.25">
      <c r="A128" t="s">
        <v>31</v>
      </c>
      <c r="B128" t="s">
        <v>7</v>
      </c>
      <c r="C128" t="s">
        <v>9</v>
      </c>
      <c r="D128" t="s">
        <v>38</v>
      </c>
      <c r="E128" t="s">
        <v>47</v>
      </c>
      <c r="F128">
        <v>1</v>
      </c>
    </row>
    <row r="129" spans="1:6" x14ac:dyDescent="0.25">
      <c r="A129" t="s">
        <v>31</v>
      </c>
      <c r="B129" t="s">
        <v>7</v>
      </c>
      <c r="C129" t="s">
        <v>9</v>
      </c>
      <c r="D129" t="s">
        <v>39</v>
      </c>
      <c r="E129" t="s">
        <v>47</v>
      </c>
      <c r="F129">
        <v>1</v>
      </c>
    </row>
    <row r="130" spans="1:6" x14ac:dyDescent="0.25">
      <c r="A130" t="s">
        <v>31</v>
      </c>
      <c r="B130" t="s">
        <v>7</v>
      </c>
      <c r="C130" t="s">
        <v>9</v>
      </c>
      <c r="D130" t="s">
        <v>40</v>
      </c>
      <c r="E130" t="s">
        <v>47</v>
      </c>
      <c r="F130">
        <v>1</v>
      </c>
    </row>
    <row r="131" spans="1:6" x14ac:dyDescent="0.25">
      <c r="A131" t="s">
        <v>31</v>
      </c>
      <c r="B131" t="s">
        <v>7</v>
      </c>
      <c r="C131" t="s">
        <v>9</v>
      </c>
      <c r="D131" t="s">
        <v>41</v>
      </c>
      <c r="E131" t="s">
        <v>25</v>
      </c>
      <c r="F131">
        <v>1</v>
      </c>
    </row>
    <row r="132" spans="1:6" x14ac:dyDescent="0.25">
      <c r="A132" t="s">
        <v>31</v>
      </c>
      <c r="B132" t="s">
        <v>7</v>
      </c>
      <c r="C132" t="s">
        <v>9</v>
      </c>
      <c r="D132" t="s">
        <v>42</v>
      </c>
      <c r="E132" t="s">
        <v>25</v>
      </c>
      <c r="F132">
        <v>1</v>
      </c>
    </row>
    <row r="133" spans="1:6" x14ac:dyDescent="0.25">
      <c r="A133" t="s">
        <v>31</v>
      </c>
      <c r="B133" t="s">
        <v>7</v>
      </c>
      <c r="C133" t="s">
        <v>9</v>
      </c>
      <c r="D133" t="s">
        <v>43</v>
      </c>
      <c r="E133" t="s">
        <v>25</v>
      </c>
      <c r="F133">
        <v>1</v>
      </c>
    </row>
    <row r="134" spans="1:6" x14ac:dyDescent="0.25">
      <c r="A134" t="s">
        <v>31</v>
      </c>
      <c r="B134" t="s">
        <v>7</v>
      </c>
      <c r="C134" t="s">
        <v>9</v>
      </c>
      <c r="D134" t="s">
        <v>44</v>
      </c>
      <c r="E134" t="s">
        <v>48</v>
      </c>
      <c r="F134">
        <v>1</v>
      </c>
    </row>
    <row r="135" spans="1:6" x14ac:dyDescent="0.25">
      <c r="A135" t="s">
        <v>31</v>
      </c>
      <c r="B135" t="s">
        <v>7</v>
      </c>
      <c r="C135" t="s">
        <v>9</v>
      </c>
      <c r="D135" t="s">
        <v>44</v>
      </c>
      <c r="E135" t="s">
        <v>25</v>
      </c>
      <c r="F135">
        <v>1</v>
      </c>
    </row>
    <row r="136" spans="1:6" x14ac:dyDescent="0.25">
      <c r="A136" t="s">
        <v>31</v>
      </c>
      <c r="B136" t="s">
        <v>7</v>
      </c>
      <c r="C136" t="s">
        <v>9</v>
      </c>
      <c r="D136" t="s">
        <v>45</v>
      </c>
      <c r="E136" t="s">
        <v>48</v>
      </c>
      <c r="F136">
        <v>1</v>
      </c>
    </row>
    <row r="137" spans="1:6" x14ac:dyDescent="0.25">
      <c r="A137" t="s">
        <v>28</v>
      </c>
      <c r="B137" t="s">
        <v>8</v>
      </c>
      <c r="C137" t="s">
        <v>9</v>
      </c>
      <c r="D137" t="s">
        <v>38</v>
      </c>
      <c r="E137" t="s">
        <v>47</v>
      </c>
      <c r="F137">
        <v>1</v>
      </c>
    </row>
    <row r="138" spans="1:6" x14ac:dyDescent="0.25">
      <c r="A138" t="s">
        <v>28</v>
      </c>
      <c r="B138" t="s">
        <v>8</v>
      </c>
      <c r="C138" t="s">
        <v>9</v>
      </c>
      <c r="D138" t="s">
        <v>39</v>
      </c>
      <c r="E138" t="s">
        <v>47</v>
      </c>
      <c r="F138">
        <v>1</v>
      </c>
    </row>
    <row r="139" spans="1:6" x14ac:dyDescent="0.25">
      <c r="A139" t="s">
        <v>28</v>
      </c>
      <c r="B139" t="s">
        <v>8</v>
      </c>
      <c r="C139" t="s">
        <v>9</v>
      </c>
      <c r="D139" t="s">
        <v>40</v>
      </c>
      <c r="E139" t="s">
        <v>47</v>
      </c>
      <c r="F139">
        <v>1</v>
      </c>
    </row>
    <row r="140" spans="1:6" x14ac:dyDescent="0.25">
      <c r="A140" t="s">
        <v>28</v>
      </c>
      <c r="B140" t="s">
        <v>8</v>
      </c>
      <c r="C140" t="s">
        <v>9</v>
      </c>
      <c r="D140" t="s">
        <v>41</v>
      </c>
      <c r="E140" t="s">
        <v>25</v>
      </c>
      <c r="F140">
        <v>1</v>
      </c>
    </row>
    <row r="141" spans="1:6" x14ac:dyDescent="0.25">
      <c r="A141" t="s">
        <v>28</v>
      </c>
      <c r="B141" t="s">
        <v>8</v>
      </c>
      <c r="C141" t="s">
        <v>9</v>
      </c>
      <c r="D141" t="s">
        <v>42</v>
      </c>
      <c r="E141" t="s">
        <v>25</v>
      </c>
      <c r="F141">
        <v>1</v>
      </c>
    </row>
    <row r="142" spans="1:6" x14ac:dyDescent="0.25">
      <c r="A142" t="s">
        <v>28</v>
      </c>
      <c r="B142" t="s">
        <v>8</v>
      </c>
      <c r="C142" t="s">
        <v>9</v>
      </c>
      <c r="D142" t="s">
        <v>43</v>
      </c>
      <c r="E142" t="s">
        <v>25</v>
      </c>
      <c r="F142">
        <v>1</v>
      </c>
    </row>
    <row r="143" spans="1:6" x14ac:dyDescent="0.25">
      <c r="A143" t="s">
        <v>28</v>
      </c>
      <c r="B143" t="s">
        <v>8</v>
      </c>
      <c r="C143" t="s">
        <v>9</v>
      </c>
      <c r="D143" t="s">
        <v>44</v>
      </c>
      <c r="E143" t="s">
        <v>48</v>
      </c>
      <c r="F143">
        <v>1</v>
      </c>
    </row>
    <row r="144" spans="1:6" x14ac:dyDescent="0.25">
      <c r="A144" t="s">
        <v>28</v>
      </c>
      <c r="B144" t="s">
        <v>8</v>
      </c>
      <c r="C144" t="s">
        <v>9</v>
      </c>
      <c r="D144" t="s">
        <v>44</v>
      </c>
      <c r="E144" t="s">
        <v>25</v>
      </c>
      <c r="F144">
        <v>1</v>
      </c>
    </row>
    <row r="145" spans="1:6" x14ac:dyDescent="0.25">
      <c r="A145" t="s">
        <v>28</v>
      </c>
      <c r="B145" t="s">
        <v>8</v>
      </c>
      <c r="C145" t="s">
        <v>9</v>
      </c>
      <c r="D145" t="s">
        <v>45</v>
      </c>
      <c r="E145" t="s">
        <v>48</v>
      </c>
      <c r="F145">
        <v>1</v>
      </c>
    </row>
    <row r="146" spans="1:6" x14ac:dyDescent="0.25">
      <c r="A146" t="s">
        <v>29</v>
      </c>
      <c r="B146" t="s">
        <v>8</v>
      </c>
      <c r="C146" t="s">
        <v>9</v>
      </c>
      <c r="D146" t="s">
        <v>38</v>
      </c>
      <c r="E146" t="s">
        <v>47</v>
      </c>
      <c r="F146">
        <v>1</v>
      </c>
    </row>
    <row r="147" spans="1:6" x14ac:dyDescent="0.25">
      <c r="A147" t="s">
        <v>29</v>
      </c>
      <c r="B147" t="s">
        <v>8</v>
      </c>
      <c r="C147" t="s">
        <v>9</v>
      </c>
      <c r="D147" t="s">
        <v>39</v>
      </c>
      <c r="E147" t="s">
        <v>47</v>
      </c>
      <c r="F147">
        <v>1</v>
      </c>
    </row>
    <row r="148" spans="1:6" x14ac:dyDescent="0.25">
      <c r="A148" t="s">
        <v>29</v>
      </c>
      <c r="B148" t="s">
        <v>8</v>
      </c>
      <c r="C148" t="s">
        <v>9</v>
      </c>
      <c r="D148" t="s">
        <v>40</v>
      </c>
      <c r="E148" t="s">
        <v>47</v>
      </c>
      <c r="F148">
        <v>1</v>
      </c>
    </row>
    <row r="149" spans="1:6" x14ac:dyDescent="0.25">
      <c r="A149" t="s">
        <v>29</v>
      </c>
      <c r="B149" t="s">
        <v>8</v>
      </c>
      <c r="C149" t="s">
        <v>9</v>
      </c>
      <c r="D149" t="s">
        <v>41</v>
      </c>
      <c r="E149" t="s">
        <v>25</v>
      </c>
      <c r="F149">
        <v>1</v>
      </c>
    </row>
    <row r="150" spans="1:6" x14ac:dyDescent="0.25">
      <c r="A150" t="s">
        <v>29</v>
      </c>
      <c r="B150" t="s">
        <v>8</v>
      </c>
      <c r="C150" t="s">
        <v>9</v>
      </c>
      <c r="D150" t="s">
        <v>42</v>
      </c>
      <c r="E150" t="s">
        <v>25</v>
      </c>
      <c r="F150">
        <v>1</v>
      </c>
    </row>
    <row r="151" spans="1:6" x14ac:dyDescent="0.25">
      <c r="A151" t="s">
        <v>29</v>
      </c>
      <c r="B151" t="s">
        <v>8</v>
      </c>
      <c r="C151" t="s">
        <v>9</v>
      </c>
      <c r="D151" t="s">
        <v>43</v>
      </c>
      <c r="E151" t="s">
        <v>25</v>
      </c>
      <c r="F151">
        <v>1</v>
      </c>
    </row>
    <row r="152" spans="1:6" x14ac:dyDescent="0.25">
      <c r="A152" t="s">
        <v>29</v>
      </c>
      <c r="B152" t="s">
        <v>8</v>
      </c>
      <c r="C152" t="s">
        <v>9</v>
      </c>
      <c r="D152" t="s">
        <v>44</v>
      </c>
      <c r="E152" t="s">
        <v>48</v>
      </c>
      <c r="F152">
        <v>1</v>
      </c>
    </row>
    <row r="153" spans="1:6" x14ac:dyDescent="0.25">
      <c r="A153" t="s">
        <v>29</v>
      </c>
      <c r="B153" t="s">
        <v>8</v>
      </c>
      <c r="C153" t="s">
        <v>9</v>
      </c>
      <c r="D153" t="s">
        <v>44</v>
      </c>
      <c r="E153" t="s">
        <v>25</v>
      </c>
      <c r="F153">
        <v>1</v>
      </c>
    </row>
    <row r="154" spans="1:6" x14ac:dyDescent="0.25">
      <c r="A154" t="s">
        <v>29</v>
      </c>
      <c r="B154" t="s">
        <v>8</v>
      </c>
      <c r="C154" t="s">
        <v>9</v>
      </c>
      <c r="D154" t="s">
        <v>45</v>
      </c>
      <c r="E154" t="s">
        <v>48</v>
      </c>
      <c r="F154">
        <v>1</v>
      </c>
    </row>
    <row r="155" spans="1:6" x14ac:dyDescent="0.25">
      <c r="A155" t="s">
        <v>31</v>
      </c>
      <c r="B155" t="s">
        <v>8</v>
      </c>
      <c r="C155" t="s">
        <v>9</v>
      </c>
      <c r="D155" t="s">
        <v>38</v>
      </c>
      <c r="E155" t="s">
        <v>47</v>
      </c>
      <c r="F155">
        <v>1</v>
      </c>
    </row>
    <row r="156" spans="1:6" x14ac:dyDescent="0.25">
      <c r="A156" t="s">
        <v>31</v>
      </c>
      <c r="B156" t="s">
        <v>8</v>
      </c>
      <c r="C156" t="s">
        <v>9</v>
      </c>
      <c r="D156" t="s">
        <v>39</v>
      </c>
      <c r="E156" t="s">
        <v>47</v>
      </c>
      <c r="F156">
        <v>1</v>
      </c>
    </row>
    <row r="157" spans="1:6" x14ac:dyDescent="0.25">
      <c r="A157" t="s">
        <v>31</v>
      </c>
      <c r="B157" t="s">
        <v>8</v>
      </c>
      <c r="C157" t="s">
        <v>9</v>
      </c>
      <c r="D157" t="s">
        <v>40</v>
      </c>
      <c r="E157" t="s">
        <v>47</v>
      </c>
      <c r="F157">
        <v>1</v>
      </c>
    </row>
    <row r="158" spans="1:6" x14ac:dyDescent="0.25">
      <c r="A158" t="s">
        <v>31</v>
      </c>
      <c r="B158" t="s">
        <v>8</v>
      </c>
      <c r="C158" t="s">
        <v>9</v>
      </c>
      <c r="D158" t="s">
        <v>41</v>
      </c>
      <c r="E158" t="s">
        <v>25</v>
      </c>
      <c r="F158">
        <v>1</v>
      </c>
    </row>
    <row r="159" spans="1:6" x14ac:dyDescent="0.25">
      <c r="A159" t="s">
        <v>31</v>
      </c>
      <c r="B159" t="s">
        <v>8</v>
      </c>
      <c r="C159" t="s">
        <v>9</v>
      </c>
      <c r="D159" t="s">
        <v>42</v>
      </c>
      <c r="E159" t="s">
        <v>25</v>
      </c>
      <c r="F159">
        <v>1</v>
      </c>
    </row>
    <row r="160" spans="1:6" x14ac:dyDescent="0.25">
      <c r="A160" t="s">
        <v>31</v>
      </c>
      <c r="B160" t="s">
        <v>8</v>
      </c>
      <c r="C160" t="s">
        <v>9</v>
      </c>
      <c r="D160" t="s">
        <v>43</v>
      </c>
      <c r="E160" t="s">
        <v>25</v>
      </c>
      <c r="F160">
        <v>1</v>
      </c>
    </row>
    <row r="161" spans="1:6" x14ac:dyDescent="0.25">
      <c r="A161" t="s">
        <v>31</v>
      </c>
      <c r="B161" t="s">
        <v>8</v>
      </c>
      <c r="C161" t="s">
        <v>9</v>
      </c>
      <c r="D161" t="s">
        <v>44</v>
      </c>
      <c r="E161" t="s">
        <v>48</v>
      </c>
      <c r="F161">
        <v>1</v>
      </c>
    </row>
    <row r="162" spans="1:6" x14ac:dyDescent="0.25">
      <c r="A162" t="s">
        <v>31</v>
      </c>
      <c r="B162" t="s">
        <v>8</v>
      </c>
      <c r="C162" t="s">
        <v>9</v>
      </c>
      <c r="D162" t="s">
        <v>44</v>
      </c>
      <c r="E162" t="s">
        <v>25</v>
      </c>
      <c r="F162">
        <v>1</v>
      </c>
    </row>
    <row r="163" spans="1:6" x14ac:dyDescent="0.25">
      <c r="A163" t="s">
        <v>31</v>
      </c>
      <c r="B163" t="s">
        <v>8</v>
      </c>
      <c r="C163" t="s">
        <v>9</v>
      </c>
      <c r="D163" t="s">
        <v>45</v>
      </c>
      <c r="E163" t="s">
        <v>48</v>
      </c>
      <c r="F163">
        <v>1</v>
      </c>
    </row>
    <row r="164" spans="1:6" x14ac:dyDescent="0.25">
      <c r="A164" t="s">
        <v>28</v>
      </c>
      <c r="B164" t="s">
        <v>3</v>
      </c>
      <c r="C164" t="s">
        <v>10</v>
      </c>
      <c r="D164" t="s">
        <v>39</v>
      </c>
      <c r="E164" t="s">
        <v>47</v>
      </c>
      <c r="F164">
        <v>1</v>
      </c>
    </row>
    <row r="165" spans="1:6" x14ac:dyDescent="0.25">
      <c r="A165" t="s">
        <v>28</v>
      </c>
      <c r="B165" t="s">
        <v>3</v>
      </c>
      <c r="C165" t="s">
        <v>10</v>
      </c>
      <c r="D165" t="s">
        <v>46</v>
      </c>
      <c r="E165" t="s">
        <v>47</v>
      </c>
      <c r="F165">
        <v>1</v>
      </c>
    </row>
    <row r="166" spans="1:6" x14ac:dyDescent="0.25">
      <c r="A166" t="s">
        <v>31</v>
      </c>
      <c r="B166" t="s">
        <v>3</v>
      </c>
      <c r="C166" t="s">
        <v>10</v>
      </c>
      <c r="D166" t="s">
        <v>39</v>
      </c>
      <c r="E166" t="s">
        <v>47</v>
      </c>
      <c r="F166">
        <v>1</v>
      </c>
    </row>
    <row r="167" spans="1:6" x14ac:dyDescent="0.25">
      <c r="A167" t="s">
        <v>31</v>
      </c>
      <c r="B167" t="s">
        <v>3</v>
      </c>
      <c r="C167" t="s">
        <v>10</v>
      </c>
      <c r="D167" t="s">
        <v>46</v>
      </c>
      <c r="E167" t="s">
        <v>47</v>
      </c>
      <c r="F167">
        <v>1</v>
      </c>
    </row>
    <row r="168" spans="1:6" x14ac:dyDescent="0.25">
      <c r="A168" t="s">
        <v>28</v>
      </c>
      <c r="B168" t="s">
        <v>4</v>
      </c>
      <c r="C168" t="s">
        <v>10</v>
      </c>
      <c r="D168" t="s">
        <v>39</v>
      </c>
      <c r="E168" t="s">
        <v>47</v>
      </c>
      <c r="F168">
        <v>1</v>
      </c>
    </row>
    <row r="169" spans="1:6" x14ac:dyDescent="0.25">
      <c r="A169" t="s">
        <v>28</v>
      </c>
      <c r="B169" t="s">
        <v>4</v>
      </c>
      <c r="C169" t="s">
        <v>10</v>
      </c>
      <c r="D169" t="s">
        <v>46</v>
      </c>
      <c r="E169" t="s">
        <v>47</v>
      </c>
      <c r="F169">
        <v>1</v>
      </c>
    </row>
    <row r="170" spans="1:6" x14ac:dyDescent="0.25">
      <c r="A170" t="s">
        <v>31</v>
      </c>
      <c r="B170" t="s">
        <v>4</v>
      </c>
      <c r="C170" t="s">
        <v>10</v>
      </c>
      <c r="D170" t="s">
        <v>39</v>
      </c>
      <c r="E170" t="s">
        <v>47</v>
      </c>
      <c r="F170">
        <v>1</v>
      </c>
    </row>
    <row r="171" spans="1:6" x14ac:dyDescent="0.25">
      <c r="A171" t="s">
        <v>31</v>
      </c>
      <c r="B171" t="s">
        <v>4</v>
      </c>
      <c r="C171" t="s">
        <v>10</v>
      </c>
      <c r="D171" t="s">
        <v>46</v>
      </c>
      <c r="E171" t="s">
        <v>47</v>
      </c>
      <c r="F171">
        <v>1</v>
      </c>
    </row>
    <row r="172" spans="1:6" x14ac:dyDescent="0.25">
      <c r="A172" t="s">
        <v>28</v>
      </c>
      <c r="B172" t="s">
        <v>5</v>
      </c>
      <c r="C172" t="s">
        <v>10</v>
      </c>
      <c r="D172" t="s">
        <v>39</v>
      </c>
      <c r="E172" t="s">
        <v>47</v>
      </c>
      <c r="F172">
        <v>1</v>
      </c>
    </row>
    <row r="173" spans="1:6" x14ac:dyDescent="0.25">
      <c r="A173" t="s">
        <v>28</v>
      </c>
      <c r="B173" t="s">
        <v>5</v>
      </c>
      <c r="C173" t="s">
        <v>10</v>
      </c>
      <c r="D173" t="s">
        <v>46</v>
      </c>
      <c r="E173" t="s">
        <v>47</v>
      </c>
      <c r="F173">
        <v>1</v>
      </c>
    </row>
    <row r="174" spans="1:6" x14ac:dyDescent="0.25">
      <c r="A174" t="s">
        <v>31</v>
      </c>
      <c r="B174" t="s">
        <v>5</v>
      </c>
      <c r="C174" t="s">
        <v>10</v>
      </c>
      <c r="D174" t="s">
        <v>39</v>
      </c>
      <c r="E174" t="s">
        <v>47</v>
      </c>
      <c r="F174">
        <v>1</v>
      </c>
    </row>
    <row r="175" spans="1:6" x14ac:dyDescent="0.25">
      <c r="A175" t="s">
        <v>31</v>
      </c>
      <c r="B175" t="s">
        <v>5</v>
      </c>
      <c r="C175" t="s">
        <v>10</v>
      </c>
      <c r="D175" t="s">
        <v>46</v>
      </c>
      <c r="E175" t="s">
        <v>47</v>
      </c>
      <c r="F175">
        <v>1</v>
      </c>
    </row>
    <row r="176" spans="1:6" x14ac:dyDescent="0.25">
      <c r="A176" t="s">
        <v>28</v>
      </c>
      <c r="B176" t="s">
        <v>6</v>
      </c>
      <c r="C176" t="s">
        <v>10</v>
      </c>
      <c r="D176" t="s">
        <v>39</v>
      </c>
      <c r="E176" t="s">
        <v>47</v>
      </c>
      <c r="F176">
        <v>1</v>
      </c>
    </row>
    <row r="177" spans="1:6" x14ac:dyDescent="0.25">
      <c r="A177" t="s">
        <v>28</v>
      </c>
      <c r="B177" t="s">
        <v>6</v>
      </c>
      <c r="C177" t="s">
        <v>10</v>
      </c>
      <c r="D177" t="s">
        <v>46</v>
      </c>
      <c r="E177" t="s">
        <v>47</v>
      </c>
      <c r="F177">
        <v>1</v>
      </c>
    </row>
    <row r="178" spans="1:6" x14ac:dyDescent="0.25">
      <c r="A178" t="s">
        <v>31</v>
      </c>
      <c r="B178" t="s">
        <v>6</v>
      </c>
      <c r="C178" t="s">
        <v>10</v>
      </c>
      <c r="D178" t="s">
        <v>39</v>
      </c>
      <c r="E178" t="s">
        <v>47</v>
      </c>
      <c r="F178">
        <v>1</v>
      </c>
    </row>
    <row r="179" spans="1:6" x14ac:dyDescent="0.25">
      <c r="A179" t="s">
        <v>31</v>
      </c>
      <c r="B179" t="s">
        <v>6</v>
      </c>
      <c r="C179" t="s">
        <v>10</v>
      </c>
      <c r="D179" t="s">
        <v>46</v>
      </c>
      <c r="E179" t="s">
        <v>47</v>
      </c>
      <c r="F179">
        <v>1</v>
      </c>
    </row>
    <row r="180" spans="1:6" x14ac:dyDescent="0.25">
      <c r="A180" t="s">
        <v>28</v>
      </c>
      <c r="B180" t="s">
        <v>7</v>
      </c>
      <c r="C180" t="s">
        <v>10</v>
      </c>
      <c r="D180" t="s">
        <v>39</v>
      </c>
      <c r="E180" t="s">
        <v>47</v>
      </c>
      <c r="F180">
        <v>1</v>
      </c>
    </row>
    <row r="181" spans="1:6" x14ac:dyDescent="0.25">
      <c r="A181" t="s">
        <v>28</v>
      </c>
      <c r="B181" t="s">
        <v>7</v>
      </c>
      <c r="C181" t="s">
        <v>10</v>
      </c>
      <c r="D181" t="s">
        <v>46</v>
      </c>
      <c r="E181" t="s">
        <v>47</v>
      </c>
      <c r="F181">
        <v>1</v>
      </c>
    </row>
    <row r="182" spans="1:6" x14ac:dyDescent="0.25">
      <c r="A182" t="s">
        <v>31</v>
      </c>
      <c r="B182" t="s">
        <v>7</v>
      </c>
      <c r="C182" t="s">
        <v>10</v>
      </c>
      <c r="D182" t="s">
        <v>39</v>
      </c>
      <c r="E182" t="s">
        <v>47</v>
      </c>
      <c r="F182">
        <v>1</v>
      </c>
    </row>
    <row r="183" spans="1:6" x14ac:dyDescent="0.25">
      <c r="A183" t="s">
        <v>31</v>
      </c>
      <c r="B183" t="s">
        <v>7</v>
      </c>
      <c r="C183" t="s">
        <v>10</v>
      </c>
      <c r="D183" t="s">
        <v>46</v>
      </c>
      <c r="E183" t="s">
        <v>47</v>
      </c>
      <c r="F183">
        <v>1</v>
      </c>
    </row>
    <row r="184" spans="1:6" x14ac:dyDescent="0.25">
      <c r="A184" t="s">
        <v>28</v>
      </c>
      <c r="B184" t="s">
        <v>8</v>
      </c>
      <c r="C184" t="s">
        <v>10</v>
      </c>
      <c r="D184" t="s">
        <v>39</v>
      </c>
      <c r="E184" t="s">
        <v>47</v>
      </c>
      <c r="F184">
        <v>1</v>
      </c>
    </row>
    <row r="185" spans="1:6" x14ac:dyDescent="0.25">
      <c r="A185" t="s">
        <v>28</v>
      </c>
      <c r="B185" t="s">
        <v>8</v>
      </c>
      <c r="C185" t="s">
        <v>10</v>
      </c>
      <c r="D185" t="s">
        <v>46</v>
      </c>
      <c r="E185" t="s">
        <v>47</v>
      </c>
      <c r="F185">
        <v>1</v>
      </c>
    </row>
    <row r="186" spans="1:6" x14ac:dyDescent="0.25">
      <c r="A186" t="s">
        <v>31</v>
      </c>
      <c r="B186" t="s">
        <v>8</v>
      </c>
      <c r="C186" t="s">
        <v>10</v>
      </c>
      <c r="D186" t="s">
        <v>39</v>
      </c>
      <c r="E186" t="s">
        <v>47</v>
      </c>
      <c r="F186">
        <v>1</v>
      </c>
    </row>
    <row r="187" spans="1:6" x14ac:dyDescent="0.25">
      <c r="A187" t="s">
        <v>31</v>
      </c>
      <c r="B187" t="s">
        <v>8</v>
      </c>
      <c r="C187" t="s">
        <v>10</v>
      </c>
      <c r="D187" t="s">
        <v>46</v>
      </c>
      <c r="E187" t="s">
        <v>47</v>
      </c>
      <c r="F187">
        <v>1</v>
      </c>
    </row>
    <row r="188" spans="1:6" x14ac:dyDescent="0.25">
      <c r="A188" t="s">
        <v>28</v>
      </c>
      <c r="B188" t="s">
        <v>3</v>
      </c>
      <c r="C188" t="s">
        <v>11</v>
      </c>
      <c r="D188" t="s">
        <v>40</v>
      </c>
      <c r="E188" t="s">
        <v>47</v>
      </c>
      <c r="F188">
        <v>1</v>
      </c>
    </row>
    <row r="189" spans="1:6" x14ac:dyDescent="0.25">
      <c r="A189" t="s">
        <v>29</v>
      </c>
      <c r="B189" t="s">
        <v>3</v>
      </c>
      <c r="C189" t="s">
        <v>11</v>
      </c>
      <c r="D189" t="s">
        <v>40</v>
      </c>
      <c r="E189" t="s">
        <v>47</v>
      </c>
      <c r="F189">
        <v>1</v>
      </c>
    </row>
    <row r="190" spans="1:6" x14ac:dyDescent="0.25">
      <c r="A190" t="s">
        <v>31</v>
      </c>
      <c r="B190" t="s">
        <v>3</v>
      </c>
      <c r="C190" t="s">
        <v>11</v>
      </c>
      <c r="D190" t="s">
        <v>40</v>
      </c>
      <c r="E190" t="s">
        <v>47</v>
      </c>
      <c r="F190">
        <v>1</v>
      </c>
    </row>
    <row r="191" spans="1:6" x14ac:dyDescent="0.25">
      <c r="A191" t="s">
        <v>28</v>
      </c>
      <c r="B191" t="s">
        <v>4</v>
      </c>
      <c r="C191" t="s">
        <v>11</v>
      </c>
      <c r="D191" t="s">
        <v>40</v>
      </c>
      <c r="E191" t="s">
        <v>47</v>
      </c>
      <c r="F191">
        <v>1</v>
      </c>
    </row>
    <row r="192" spans="1:6" x14ac:dyDescent="0.25">
      <c r="A192" t="s">
        <v>29</v>
      </c>
      <c r="B192" t="s">
        <v>4</v>
      </c>
      <c r="C192" t="s">
        <v>11</v>
      </c>
      <c r="D192" t="s">
        <v>40</v>
      </c>
      <c r="E192" t="s">
        <v>47</v>
      </c>
      <c r="F192">
        <v>1</v>
      </c>
    </row>
    <row r="193" spans="1:6" x14ac:dyDescent="0.25">
      <c r="A193" t="s">
        <v>31</v>
      </c>
      <c r="B193" t="s">
        <v>4</v>
      </c>
      <c r="C193" t="s">
        <v>11</v>
      </c>
      <c r="D193" t="s">
        <v>40</v>
      </c>
      <c r="E193" t="s">
        <v>47</v>
      </c>
      <c r="F193">
        <v>1</v>
      </c>
    </row>
    <row r="194" spans="1:6" x14ac:dyDescent="0.25">
      <c r="A194" t="s">
        <v>28</v>
      </c>
      <c r="B194" t="s">
        <v>5</v>
      </c>
      <c r="C194" t="s">
        <v>11</v>
      </c>
      <c r="D194" t="s">
        <v>40</v>
      </c>
      <c r="E194" t="s">
        <v>47</v>
      </c>
      <c r="F194">
        <v>1</v>
      </c>
    </row>
    <row r="195" spans="1:6" x14ac:dyDescent="0.25">
      <c r="A195" t="s">
        <v>29</v>
      </c>
      <c r="B195" t="s">
        <v>5</v>
      </c>
      <c r="C195" t="s">
        <v>11</v>
      </c>
      <c r="D195" t="s">
        <v>40</v>
      </c>
      <c r="E195" t="s">
        <v>47</v>
      </c>
      <c r="F195">
        <v>1</v>
      </c>
    </row>
    <row r="196" spans="1:6" x14ac:dyDescent="0.25">
      <c r="A196" t="s">
        <v>31</v>
      </c>
      <c r="B196" t="s">
        <v>5</v>
      </c>
      <c r="C196" t="s">
        <v>11</v>
      </c>
      <c r="D196" t="s">
        <v>40</v>
      </c>
      <c r="E196" t="s">
        <v>47</v>
      </c>
      <c r="F196">
        <v>1</v>
      </c>
    </row>
    <row r="197" spans="1:6" x14ac:dyDescent="0.25">
      <c r="A197" t="s">
        <v>28</v>
      </c>
      <c r="B197" t="s">
        <v>6</v>
      </c>
      <c r="C197" t="s">
        <v>11</v>
      </c>
      <c r="D197" t="s">
        <v>40</v>
      </c>
      <c r="E197" t="s">
        <v>47</v>
      </c>
      <c r="F197">
        <v>1</v>
      </c>
    </row>
    <row r="198" spans="1:6" x14ac:dyDescent="0.25">
      <c r="A198" t="s">
        <v>29</v>
      </c>
      <c r="B198" t="s">
        <v>6</v>
      </c>
      <c r="C198" t="s">
        <v>11</v>
      </c>
      <c r="D198" t="s">
        <v>40</v>
      </c>
      <c r="E198" t="s">
        <v>47</v>
      </c>
      <c r="F198">
        <v>1</v>
      </c>
    </row>
    <row r="199" spans="1:6" x14ac:dyDescent="0.25">
      <c r="A199" t="s">
        <v>31</v>
      </c>
      <c r="B199" t="s">
        <v>6</v>
      </c>
      <c r="C199" t="s">
        <v>11</v>
      </c>
      <c r="D199" t="s">
        <v>40</v>
      </c>
      <c r="E199" t="s">
        <v>47</v>
      </c>
      <c r="F199">
        <v>1</v>
      </c>
    </row>
    <row r="200" spans="1:6" x14ac:dyDescent="0.25">
      <c r="A200" t="s">
        <v>28</v>
      </c>
      <c r="B200" t="s">
        <v>7</v>
      </c>
      <c r="C200" t="s">
        <v>11</v>
      </c>
      <c r="D200" t="s">
        <v>40</v>
      </c>
      <c r="E200" t="s">
        <v>47</v>
      </c>
      <c r="F200">
        <v>1</v>
      </c>
    </row>
    <row r="201" spans="1:6" x14ac:dyDescent="0.25">
      <c r="A201" t="s">
        <v>29</v>
      </c>
      <c r="B201" t="s">
        <v>7</v>
      </c>
      <c r="C201" t="s">
        <v>11</v>
      </c>
      <c r="D201" t="s">
        <v>40</v>
      </c>
      <c r="E201" t="s">
        <v>47</v>
      </c>
      <c r="F201">
        <v>1</v>
      </c>
    </row>
    <row r="202" spans="1:6" x14ac:dyDescent="0.25">
      <c r="A202" t="s">
        <v>31</v>
      </c>
      <c r="B202" t="s">
        <v>7</v>
      </c>
      <c r="C202" t="s">
        <v>11</v>
      </c>
      <c r="D202" t="s">
        <v>40</v>
      </c>
      <c r="E202" t="s">
        <v>47</v>
      </c>
      <c r="F202">
        <v>1</v>
      </c>
    </row>
    <row r="203" spans="1:6" x14ac:dyDescent="0.25">
      <c r="A203" t="s">
        <v>28</v>
      </c>
      <c r="B203" t="s">
        <v>8</v>
      </c>
      <c r="C203" t="s">
        <v>11</v>
      </c>
      <c r="D203" t="s">
        <v>40</v>
      </c>
      <c r="E203" t="s">
        <v>47</v>
      </c>
      <c r="F203">
        <v>1</v>
      </c>
    </row>
    <row r="204" spans="1:6" x14ac:dyDescent="0.25">
      <c r="A204" t="s">
        <v>29</v>
      </c>
      <c r="B204" t="s">
        <v>8</v>
      </c>
      <c r="C204" t="s">
        <v>11</v>
      </c>
      <c r="D204" t="s">
        <v>40</v>
      </c>
      <c r="E204" t="s">
        <v>47</v>
      </c>
      <c r="F204">
        <v>1</v>
      </c>
    </row>
    <row r="205" spans="1:6" x14ac:dyDescent="0.25">
      <c r="A205" t="s">
        <v>31</v>
      </c>
      <c r="B205" t="s">
        <v>8</v>
      </c>
      <c r="C205" t="s">
        <v>11</v>
      </c>
      <c r="D205" t="s">
        <v>40</v>
      </c>
      <c r="E205" t="s">
        <v>47</v>
      </c>
      <c r="F205">
        <v>1</v>
      </c>
    </row>
    <row r="206" spans="1:6" x14ac:dyDescent="0.25">
      <c r="A206" t="s">
        <v>28</v>
      </c>
      <c r="B206" t="s">
        <v>3</v>
      </c>
      <c r="C206" t="s">
        <v>12</v>
      </c>
      <c r="D206" t="s">
        <v>46</v>
      </c>
      <c r="E206" t="s">
        <v>47</v>
      </c>
      <c r="F206">
        <v>1</v>
      </c>
    </row>
    <row r="207" spans="1:6" x14ac:dyDescent="0.25">
      <c r="A207" t="s">
        <v>29</v>
      </c>
      <c r="B207" t="s">
        <v>3</v>
      </c>
      <c r="C207" t="s">
        <v>12</v>
      </c>
      <c r="D207" t="s">
        <v>46</v>
      </c>
      <c r="E207" t="s">
        <v>47</v>
      </c>
      <c r="F207">
        <v>1</v>
      </c>
    </row>
    <row r="208" spans="1:6" x14ac:dyDescent="0.25">
      <c r="A208" t="s">
        <v>31</v>
      </c>
      <c r="B208" t="s">
        <v>3</v>
      </c>
      <c r="C208" t="s">
        <v>12</v>
      </c>
      <c r="D208" t="s">
        <v>46</v>
      </c>
      <c r="E208" t="s">
        <v>47</v>
      </c>
      <c r="F208">
        <v>1</v>
      </c>
    </row>
    <row r="209" spans="1:6" x14ac:dyDescent="0.25">
      <c r="A209" t="s">
        <v>28</v>
      </c>
      <c r="B209" t="s">
        <v>4</v>
      </c>
      <c r="C209" t="s">
        <v>12</v>
      </c>
      <c r="D209" t="s">
        <v>46</v>
      </c>
      <c r="E209" t="s">
        <v>47</v>
      </c>
      <c r="F209">
        <v>1</v>
      </c>
    </row>
    <row r="210" spans="1:6" x14ac:dyDescent="0.25">
      <c r="A210" t="s">
        <v>29</v>
      </c>
      <c r="B210" t="s">
        <v>4</v>
      </c>
      <c r="C210" t="s">
        <v>12</v>
      </c>
      <c r="D210" t="s">
        <v>46</v>
      </c>
      <c r="E210" t="s">
        <v>47</v>
      </c>
      <c r="F210">
        <v>1</v>
      </c>
    </row>
    <row r="211" spans="1:6" x14ac:dyDescent="0.25">
      <c r="A211" t="s">
        <v>31</v>
      </c>
      <c r="B211" t="s">
        <v>4</v>
      </c>
      <c r="C211" t="s">
        <v>12</v>
      </c>
      <c r="D211" t="s">
        <v>46</v>
      </c>
      <c r="E211" t="s">
        <v>47</v>
      </c>
      <c r="F211">
        <v>1</v>
      </c>
    </row>
    <row r="212" spans="1:6" x14ac:dyDescent="0.25">
      <c r="A212" t="s">
        <v>28</v>
      </c>
      <c r="B212" t="s">
        <v>5</v>
      </c>
      <c r="C212" t="s">
        <v>12</v>
      </c>
      <c r="D212" t="s">
        <v>46</v>
      </c>
      <c r="E212" t="s">
        <v>47</v>
      </c>
      <c r="F212">
        <v>1</v>
      </c>
    </row>
    <row r="213" spans="1:6" x14ac:dyDescent="0.25">
      <c r="A213" t="s">
        <v>29</v>
      </c>
      <c r="B213" t="s">
        <v>5</v>
      </c>
      <c r="C213" t="s">
        <v>12</v>
      </c>
      <c r="D213" t="s">
        <v>46</v>
      </c>
      <c r="E213" t="s">
        <v>47</v>
      </c>
      <c r="F213">
        <v>1</v>
      </c>
    </row>
    <row r="214" spans="1:6" x14ac:dyDescent="0.25">
      <c r="A214" t="s">
        <v>31</v>
      </c>
      <c r="B214" t="s">
        <v>5</v>
      </c>
      <c r="C214" t="s">
        <v>12</v>
      </c>
      <c r="D214" t="s">
        <v>46</v>
      </c>
      <c r="E214" t="s">
        <v>47</v>
      </c>
      <c r="F214">
        <v>1</v>
      </c>
    </row>
    <row r="215" spans="1:6" x14ac:dyDescent="0.25">
      <c r="A215" t="s">
        <v>28</v>
      </c>
      <c r="B215" t="s">
        <v>6</v>
      </c>
      <c r="C215" t="s">
        <v>12</v>
      </c>
      <c r="D215" t="s">
        <v>46</v>
      </c>
      <c r="E215" t="s">
        <v>47</v>
      </c>
      <c r="F215">
        <v>1</v>
      </c>
    </row>
    <row r="216" spans="1:6" x14ac:dyDescent="0.25">
      <c r="A216" t="s">
        <v>29</v>
      </c>
      <c r="B216" t="s">
        <v>6</v>
      </c>
      <c r="C216" t="s">
        <v>12</v>
      </c>
      <c r="D216" t="s">
        <v>46</v>
      </c>
      <c r="E216" t="s">
        <v>47</v>
      </c>
      <c r="F216">
        <v>1</v>
      </c>
    </row>
    <row r="217" spans="1:6" x14ac:dyDescent="0.25">
      <c r="A217" t="s">
        <v>31</v>
      </c>
      <c r="B217" t="s">
        <v>6</v>
      </c>
      <c r="C217" t="s">
        <v>12</v>
      </c>
      <c r="D217" t="s">
        <v>46</v>
      </c>
      <c r="E217" t="s">
        <v>47</v>
      </c>
      <c r="F217">
        <v>1</v>
      </c>
    </row>
    <row r="218" spans="1:6" x14ac:dyDescent="0.25">
      <c r="A218" t="s">
        <v>28</v>
      </c>
      <c r="B218" t="s">
        <v>7</v>
      </c>
      <c r="C218" t="s">
        <v>12</v>
      </c>
      <c r="D218" t="s">
        <v>46</v>
      </c>
      <c r="E218" t="s">
        <v>47</v>
      </c>
      <c r="F218">
        <v>1</v>
      </c>
    </row>
    <row r="219" spans="1:6" x14ac:dyDescent="0.25">
      <c r="A219" t="s">
        <v>29</v>
      </c>
      <c r="B219" t="s">
        <v>7</v>
      </c>
      <c r="C219" t="s">
        <v>12</v>
      </c>
      <c r="D219" t="s">
        <v>46</v>
      </c>
      <c r="E219" t="s">
        <v>47</v>
      </c>
      <c r="F219">
        <v>1</v>
      </c>
    </row>
    <row r="220" spans="1:6" x14ac:dyDescent="0.25">
      <c r="A220" t="s">
        <v>31</v>
      </c>
      <c r="B220" t="s">
        <v>7</v>
      </c>
      <c r="C220" t="s">
        <v>12</v>
      </c>
      <c r="D220" t="s">
        <v>46</v>
      </c>
      <c r="E220" t="s">
        <v>47</v>
      </c>
      <c r="F220">
        <v>1</v>
      </c>
    </row>
    <row r="221" spans="1:6" x14ac:dyDescent="0.25">
      <c r="A221" t="s">
        <v>28</v>
      </c>
      <c r="B221" t="s">
        <v>8</v>
      </c>
      <c r="C221" t="s">
        <v>12</v>
      </c>
      <c r="D221" t="s">
        <v>46</v>
      </c>
      <c r="E221" t="s">
        <v>47</v>
      </c>
      <c r="F221">
        <v>1</v>
      </c>
    </row>
    <row r="222" spans="1:6" x14ac:dyDescent="0.25">
      <c r="A222" t="s">
        <v>29</v>
      </c>
      <c r="B222" t="s">
        <v>8</v>
      </c>
      <c r="C222" t="s">
        <v>12</v>
      </c>
      <c r="D222" t="s">
        <v>46</v>
      </c>
      <c r="E222" t="s">
        <v>47</v>
      </c>
      <c r="F222">
        <v>1</v>
      </c>
    </row>
    <row r="223" spans="1:6" x14ac:dyDescent="0.25">
      <c r="A223" t="s">
        <v>31</v>
      </c>
      <c r="B223" t="s">
        <v>8</v>
      </c>
      <c r="C223" t="s">
        <v>12</v>
      </c>
      <c r="D223" t="s">
        <v>46</v>
      </c>
      <c r="E223" t="s">
        <v>47</v>
      </c>
      <c r="F223">
        <v>1</v>
      </c>
    </row>
  </sheetData>
  <autoFilter ref="A1:F1" xr:uid="{00000000-0001-0000-07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F720-D7F0-4478-B579-5F216F071FC4}">
  <dimension ref="A1:D79"/>
  <sheetViews>
    <sheetView topLeftCell="A68" workbookViewId="0">
      <selection activeCell="S74" sqref="S74"/>
    </sheetView>
  </sheetViews>
  <sheetFormatPr defaultRowHeight="15" x14ac:dyDescent="0.25"/>
  <sheetData>
    <row r="1" spans="1:4" x14ac:dyDescent="0.25">
      <c r="A1" s="8" t="s">
        <v>34</v>
      </c>
      <c r="B1" s="8" t="s">
        <v>35</v>
      </c>
      <c r="C1" s="8" t="s">
        <v>36</v>
      </c>
      <c r="D1" s="8" t="s">
        <v>1</v>
      </c>
    </row>
    <row r="2" spans="1:4" x14ac:dyDescent="0.25">
      <c r="A2" t="s">
        <v>3</v>
      </c>
      <c r="B2" t="s">
        <v>9</v>
      </c>
      <c r="C2" t="s">
        <v>38</v>
      </c>
      <c r="D2">
        <v>1</v>
      </c>
    </row>
    <row r="3" spans="1:4" x14ac:dyDescent="0.25">
      <c r="A3" t="s">
        <v>3</v>
      </c>
      <c r="B3" t="s">
        <v>9</v>
      </c>
      <c r="C3" t="s">
        <v>39</v>
      </c>
      <c r="D3">
        <v>1</v>
      </c>
    </row>
    <row r="4" spans="1:4" x14ac:dyDescent="0.25">
      <c r="A4" t="s">
        <v>3</v>
      </c>
      <c r="B4" t="s">
        <v>9</v>
      </c>
      <c r="C4" t="s">
        <v>40</v>
      </c>
      <c r="D4">
        <v>1</v>
      </c>
    </row>
    <row r="5" spans="1:4" x14ac:dyDescent="0.25">
      <c r="A5" t="s">
        <v>3</v>
      </c>
      <c r="B5" t="s">
        <v>9</v>
      </c>
      <c r="C5" t="s">
        <v>41</v>
      </c>
      <c r="D5">
        <v>1</v>
      </c>
    </row>
    <row r="6" spans="1:4" x14ac:dyDescent="0.25">
      <c r="A6" t="s">
        <v>3</v>
      </c>
      <c r="B6" t="s">
        <v>9</v>
      </c>
      <c r="C6" t="s">
        <v>42</v>
      </c>
      <c r="D6">
        <v>1</v>
      </c>
    </row>
    <row r="7" spans="1:4" x14ac:dyDescent="0.25">
      <c r="A7" t="s">
        <v>3</v>
      </c>
      <c r="B7" t="s">
        <v>9</v>
      </c>
      <c r="C7" t="s">
        <v>43</v>
      </c>
      <c r="D7">
        <v>1</v>
      </c>
    </row>
    <row r="8" spans="1:4" x14ac:dyDescent="0.25">
      <c r="A8" t="s">
        <v>3</v>
      </c>
      <c r="B8" t="s">
        <v>9</v>
      </c>
      <c r="C8" t="s">
        <v>44</v>
      </c>
      <c r="D8">
        <v>1</v>
      </c>
    </row>
    <row r="9" spans="1:4" x14ac:dyDescent="0.25">
      <c r="A9" t="s">
        <v>3</v>
      </c>
      <c r="B9" t="s">
        <v>9</v>
      </c>
      <c r="C9" t="s">
        <v>45</v>
      </c>
      <c r="D9">
        <v>1</v>
      </c>
    </row>
    <row r="10" spans="1:4" x14ac:dyDescent="0.25">
      <c r="A10" t="s">
        <v>4</v>
      </c>
      <c r="B10" t="s">
        <v>9</v>
      </c>
      <c r="C10" t="s">
        <v>38</v>
      </c>
      <c r="D10">
        <v>1</v>
      </c>
    </row>
    <row r="11" spans="1:4" x14ac:dyDescent="0.25">
      <c r="A11" t="s">
        <v>4</v>
      </c>
      <c r="B11" t="s">
        <v>9</v>
      </c>
      <c r="C11" t="s">
        <v>39</v>
      </c>
      <c r="D11">
        <v>1</v>
      </c>
    </row>
    <row r="12" spans="1:4" x14ac:dyDescent="0.25">
      <c r="A12" t="s">
        <v>4</v>
      </c>
      <c r="B12" t="s">
        <v>9</v>
      </c>
      <c r="C12" t="s">
        <v>40</v>
      </c>
      <c r="D12">
        <v>1</v>
      </c>
    </row>
    <row r="13" spans="1:4" x14ac:dyDescent="0.25">
      <c r="A13" t="s">
        <v>4</v>
      </c>
      <c r="B13" t="s">
        <v>9</v>
      </c>
      <c r="C13" t="s">
        <v>41</v>
      </c>
      <c r="D13">
        <v>1</v>
      </c>
    </row>
    <row r="14" spans="1:4" x14ac:dyDescent="0.25">
      <c r="A14" t="s">
        <v>4</v>
      </c>
      <c r="B14" t="s">
        <v>9</v>
      </c>
      <c r="C14" t="s">
        <v>42</v>
      </c>
      <c r="D14">
        <v>1</v>
      </c>
    </row>
    <row r="15" spans="1:4" x14ac:dyDescent="0.25">
      <c r="A15" t="s">
        <v>4</v>
      </c>
      <c r="B15" t="s">
        <v>9</v>
      </c>
      <c r="C15" t="s">
        <v>43</v>
      </c>
      <c r="D15">
        <v>1</v>
      </c>
    </row>
    <row r="16" spans="1:4" x14ac:dyDescent="0.25">
      <c r="A16" t="s">
        <v>4</v>
      </c>
      <c r="B16" t="s">
        <v>9</v>
      </c>
      <c r="C16" t="s">
        <v>44</v>
      </c>
      <c r="D16">
        <v>1</v>
      </c>
    </row>
    <row r="17" spans="1:4" x14ac:dyDescent="0.25">
      <c r="A17" t="s">
        <v>4</v>
      </c>
      <c r="B17" t="s">
        <v>9</v>
      </c>
      <c r="C17" t="s">
        <v>45</v>
      </c>
      <c r="D17">
        <v>1</v>
      </c>
    </row>
    <row r="18" spans="1:4" x14ac:dyDescent="0.25">
      <c r="A18" t="s">
        <v>5</v>
      </c>
      <c r="B18" t="s">
        <v>9</v>
      </c>
      <c r="C18" t="s">
        <v>38</v>
      </c>
      <c r="D18">
        <v>1</v>
      </c>
    </row>
    <row r="19" spans="1:4" x14ac:dyDescent="0.25">
      <c r="A19" t="s">
        <v>5</v>
      </c>
      <c r="B19" t="s">
        <v>9</v>
      </c>
      <c r="C19" t="s">
        <v>39</v>
      </c>
      <c r="D19">
        <v>1</v>
      </c>
    </row>
    <row r="20" spans="1:4" x14ac:dyDescent="0.25">
      <c r="A20" t="s">
        <v>5</v>
      </c>
      <c r="B20" t="s">
        <v>9</v>
      </c>
      <c r="C20" t="s">
        <v>40</v>
      </c>
      <c r="D20">
        <v>1</v>
      </c>
    </row>
    <row r="21" spans="1:4" x14ac:dyDescent="0.25">
      <c r="A21" t="s">
        <v>5</v>
      </c>
      <c r="B21" t="s">
        <v>9</v>
      </c>
      <c r="C21" t="s">
        <v>41</v>
      </c>
      <c r="D21">
        <v>1</v>
      </c>
    </row>
    <row r="22" spans="1:4" x14ac:dyDescent="0.25">
      <c r="A22" t="s">
        <v>5</v>
      </c>
      <c r="B22" t="s">
        <v>9</v>
      </c>
      <c r="C22" t="s">
        <v>42</v>
      </c>
      <c r="D22">
        <v>1</v>
      </c>
    </row>
    <row r="23" spans="1:4" x14ac:dyDescent="0.25">
      <c r="A23" t="s">
        <v>5</v>
      </c>
      <c r="B23" t="s">
        <v>9</v>
      </c>
      <c r="C23" t="s">
        <v>43</v>
      </c>
      <c r="D23">
        <v>1</v>
      </c>
    </row>
    <row r="24" spans="1:4" x14ac:dyDescent="0.25">
      <c r="A24" t="s">
        <v>5</v>
      </c>
      <c r="B24" t="s">
        <v>9</v>
      </c>
      <c r="C24" t="s">
        <v>44</v>
      </c>
      <c r="D24">
        <v>1</v>
      </c>
    </row>
    <row r="25" spans="1:4" x14ac:dyDescent="0.25">
      <c r="A25" t="s">
        <v>5</v>
      </c>
      <c r="B25" t="s">
        <v>9</v>
      </c>
      <c r="C25" t="s">
        <v>45</v>
      </c>
      <c r="D25">
        <v>1</v>
      </c>
    </row>
    <row r="26" spans="1:4" x14ac:dyDescent="0.25">
      <c r="A26" t="s">
        <v>6</v>
      </c>
      <c r="B26" t="s">
        <v>9</v>
      </c>
      <c r="C26" t="s">
        <v>38</v>
      </c>
      <c r="D26">
        <v>1</v>
      </c>
    </row>
    <row r="27" spans="1:4" x14ac:dyDescent="0.25">
      <c r="A27" t="s">
        <v>6</v>
      </c>
      <c r="B27" t="s">
        <v>9</v>
      </c>
      <c r="C27" t="s">
        <v>39</v>
      </c>
      <c r="D27">
        <v>1</v>
      </c>
    </row>
    <row r="28" spans="1:4" x14ac:dyDescent="0.25">
      <c r="A28" t="s">
        <v>6</v>
      </c>
      <c r="B28" t="s">
        <v>9</v>
      </c>
      <c r="C28" t="s">
        <v>40</v>
      </c>
      <c r="D28">
        <v>1</v>
      </c>
    </row>
    <row r="29" spans="1:4" x14ac:dyDescent="0.25">
      <c r="A29" t="s">
        <v>6</v>
      </c>
      <c r="B29" t="s">
        <v>9</v>
      </c>
      <c r="C29" t="s">
        <v>41</v>
      </c>
      <c r="D29">
        <v>1</v>
      </c>
    </row>
    <row r="30" spans="1:4" x14ac:dyDescent="0.25">
      <c r="A30" t="s">
        <v>6</v>
      </c>
      <c r="B30" t="s">
        <v>9</v>
      </c>
      <c r="C30" t="s">
        <v>42</v>
      </c>
      <c r="D30">
        <v>1</v>
      </c>
    </row>
    <row r="31" spans="1:4" x14ac:dyDescent="0.25">
      <c r="A31" t="s">
        <v>6</v>
      </c>
      <c r="B31" t="s">
        <v>9</v>
      </c>
      <c r="C31" t="s">
        <v>43</v>
      </c>
      <c r="D31">
        <v>1</v>
      </c>
    </row>
    <row r="32" spans="1:4" x14ac:dyDescent="0.25">
      <c r="A32" t="s">
        <v>6</v>
      </c>
      <c r="B32" t="s">
        <v>9</v>
      </c>
      <c r="C32" t="s">
        <v>44</v>
      </c>
      <c r="D32">
        <v>1</v>
      </c>
    </row>
    <row r="33" spans="1:4" x14ac:dyDescent="0.25">
      <c r="A33" t="s">
        <v>6</v>
      </c>
      <c r="B33" t="s">
        <v>9</v>
      </c>
      <c r="C33" t="s">
        <v>45</v>
      </c>
      <c r="D33">
        <v>1</v>
      </c>
    </row>
    <row r="34" spans="1:4" x14ac:dyDescent="0.25">
      <c r="A34" t="s">
        <v>7</v>
      </c>
      <c r="B34" t="s">
        <v>9</v>
      </c>
      <c r="C34" t="s">
        <v>38</v>
      </c>
      <c r="D34">
        <v>1</v>
      </c>
    </row>
    <row r="35" spans="1:4" x14ac:dyDescent="0.25">
      <c r="A35" t="s">
        <v>7</v>
      </c>
      <c r="B35" t="s">
        <v>9</v>
      </c>
      <c r="C35" t="s">
        <v>39</v>
      </c>
      <c r="D35">
        <v>1</v>
      </c>
    </row>
    <row r="36" spans="1:4" x14ac:dyDescent="0.25">
      <c r="A36" t="s">
        <v>7</v>
      </c>
      <c r="B36" t="s">
        <v>9</v>
      </c>
      <c r="C36" t="s">
        <v>40</v>
      </c>
      <c r="D36">
        <v>1</v>
      </c>
    </row>
    <row r="37" spans="1:4" x14ac:dyDescent="0.25">
      <c r="A37" t="s">
        <v>7</v>
      </c>
      <c r="B37" t="s">
        <v>9</v>
      </c>
      <c r="C37" t="s">
        <v>41</v>
      </c>
      <c r="D37">
        <v>1</v>
      </c>
    </row>
    <row r="38" spans="1:4" x14ac:dyDescent="0.25">
      <c r="A38" t="s">
        <v>7</v>
      </c>
      <c r="B38" t="s">
        <v>9</v>
      </c>
      <c r="C38" t="s">
        <v>42</v>
      </c>
      <c r="D38">
        <v>1</v>
      </c>
    </row>
    <row r="39" spans="1:4" x14ac:dyDescent="0.25">
      <c r="A39" t="s">
        <v>7</v>
      </c>
      <c r="B39" t="s">
        <v>9</v>
      </c>
      <c r="C39" t="s">
        <v>43</v>
      </c>
      <c r="D39">
        <v>1</v>
      </c>
    </row>
    <row r="40" spans="1:4" x14ac:dyDescent="0.25">
      <c r="A40" t="s">
        <v>7</v>
      </c>
      <c r="B40" t="s">
        <v>9</v>
      </c>
      <c r="C40" t="s">
        <v>44</v>
      </c>
      <c r="D40">
        <v>1</v>
      </c>
    </row>
    <row r="41" spans="1:4" x14ac:dyDescent="0.25">
      <c r="A41" t="s">
        <v>7</v>
      </c>
      <c r="B41" t="s">
        <v>9</v>
      </c>
      <c r="C41" t="s">
        <v>45</v>
      </c>
      <c r="D41">
        <v>1</v>
      </c>
    </row>
    <row r="42" spans="1:4" x14ac:dyDescent="0.25">
      <c r="A42" t="s">
        <v>8</v>
      </c>
      <c r="B42" t="s">
        <v>9</v>
      </c>
      <c r="C42" t="s">
        <v>38</v>
      </c>
      <c r="D42">
        <v>1</v>
      </c>
    </row>
    <row r="43" spans="1:4" x14ac:dyDescent="0.25">
      <c r="A43" t="s">
        <v>8</v>
      </c>
      <c r="B43" t="s">
        <v>9</v>
      </c>
      <c r="C43" t="s">
        <v>39</v>
      </c>
      <c r="D43">
        <v>1</v>
      </c>
    </row>
    <row r="44" spans="1:4" x14ac:dyDescent="0.25">
      <c r="A44" t="s">
        <v>8</v>
      </c>
      <c r="B44" t="s">
        <v>9</v>
      </c>
      <c r="C44" t="s">
        <v>40</v>
      </c>
      <c r="D44">
        <v>1</v>
      </c>
    </row>
    <row r="45" spans="1:4" x14ac:dyDescent="0.25">
      <c r="A45" t="s">
        <v>8</v>
      </c>
      <c r="B45" t="s">
        <v>9</v>
      </c>
      <c r="C45" t="s">
        <v>41</v>
      </c>
      <c r="D45">
        <v>1</v>
      </c>
    </row>
    <row r="46" spans="1:4" x14ac:dyDescent="0.25">
      <c r="A46" t="s">
        <v>8</v>
      </c>
      <c r="B46" t="s">
        <v>9</v>
      </c>
      <c r="C46" t="s">
        <v>42</v>
      </c>
      <c r="D46">
        <v>1</v>
      </c>
    </row>
    <row r="47" spans="1:4" x14ac:dyDescent="0.25">
      <c r="A47" t="s">
        <v>8</v>
      </c>
      <c r="B47" t="s">
        <v>9</v>
      </c>
      <c r="C47" t="s">
        <v>43</v>
      </c>
      <c r="D47">
        <v>1</v>
      </c>
    </row>
    <row r="48" spans="1:4" x14ac:dyDescent="0.25">
      <c r="A48" t="s">
        <v>8</v>
      </c>
      <c r="B48" t="s">
        <v>9</v>
      </c>
      <c r="C48" t="s">
        <v>44</v>
      </c>
      <c r="D48">
        <v>1</v>
      </c>
    </row>
    <row r="49" spans="1:4" x14ac:dyDescent="0.25">
      <c r="A49" t="s">
        <v>8</v>
      </c>
      <c r="B49" t="s">
        <v>9</v>
      </c>
      <c r="C49" t="s">
        <v>45</v>
      </c>
      <c r="D49">
        <v>1</v>
      </c>
    </row>
    <row r="50" spans="1:4" x14ac:dyDescent="0.25">
      <c r="A50" t="s">
        <v>3</v>
      </c>
      <c r="B50" t="s">
        <v>10</v>
      </c>
      <c r="C50" t="s">
        <v>39</v>
      </c>
      <c r="D50">
        <v>1</v>
      </c>
    </row>
    <row r="51" spans="1:4" x14ac:dyDescent="0.25">
      <c r="A51" t="s">
        <v>3</v>
      </c>
      <c r="B51" t="s">
        <v>10</v>
      </c>
      <c r="C51" t="s">
        <v>46</v>
      </c>
      <c r="D51">
        <v>1</v>
      </c>
    </row>
    <row r="52" spans="1:4" x14ac:dyDescent="0.25">
      <c r="A52" t="s">
        <v>4</v>
      </c>
      <c r="B52" t="s">
        <v>10</v>
      </c>
      <c r="C52" t="s">
        <v>39</v>
      </c>
      <c r="D52">
        <v>1</v>
      </c>
    </row>
    <row r="53" spans="1:4" x14ac:dyDescent="0.25">
      <c r="A53" t="s">
        <v>4</v>
      </c>
      <c r="B53" t="s">
        <v>10</v>
      </c>
      <c r="C53" t="s">
        <v>46</v>
      </c>
      <c r="D53">
        <v>1</v>
      </c>
    </row>
    <row r="54" spans="1:4" x14ac:dyDescent="0.25">
      <c r="A54" t="s">
        <v>5</v>
      </c>
      <c r="B54" t="s">
        <v>10</v>
      </c>
      <c r="C54" t="s">
        <v>39</v>
      </c>
      <c r="D54">
        <v>1</v>
      </c>
    </row>
    <row r="55" spans="1:4" x14ac:dyDescent="0.25">
      <c r="A55" t="s">
        <v>5</v>
      </c>
      <c r="B55" t="s">
        <v>10</v>
      </c>
      <c r="C55" t="s">
        <v>46</v>
      </c>
      <c r="D55">
        <v>1</v>
      </c>
    </row>
    <row r="56" spans="1:4" x14ac:dyDescent="0.25">
      <c r="A56" t="s">
        <v>6</v>
      </c>
      <c r="B56" t="s">
        <v>10</v>
      </c>
      <c r="C56" t="s">
        <v>39</v>
      </c>
      <c r="D56">
        <v>1</v>
      </c>
    </row>
    <row r="57" spans="1:4" x14ac:dyDescent="0.25">
      <c r="A57" t="s">
        <v>6</v>
      </c>
      <c r="B57" t="s">
        <v>10</v>
      </c>
      <c r="C57" t="s">
        <v>46</v>
      </c>
      <c r="D57">
        <v>1</v>
      </c>
    </row>
    <row r="58" spans="1:4" x14ac:dyDescent="0.25">
      <c r="A58" t="s">
        <v>7</v>
      </c>
      <c r="B58" t="s">
        <v>10</v>
      </c>
      <c r="C58" t="s">
        <v>39</v>
      </c>
      <c r="D58">
        <v>1</v>
      </c>
    </row>
    <row r="59" spans="1:4" x14ac:dyDescent="0.25">
      <c r="A59" t="s">
        <v>7</v>
      </c>
      <c r="B59" t="s">
        <v>10</v>
      </c>
      <c r="C59" t="s">
        <v>46</v>
      </c>
      <c r="D59">
        <v>1</v>
      </c>
    </row>
    <row r="60" spans="1:4" x14ac:dyDescent="0.25">
      <c r="A60" t="s">
        <v>8</v>
      </c>
      <c r="B60" t="s">
        <v>10</v>
      </c>
      <c r="C60" t="s">
        <v>39</v>
      </c>
      <c r="D60">
        <v>1</v>
      </c>
    </row>
    <row r="61" spans="1:4" x14ac:dyDescent="0.25">
      <c r="A61" t="s">
        <v>8</v>
      </c>
      <c r="B61" t="s">
        <v>10</v>
      </c>
      <c r="C61" t="s">
        <v>46</v>
      </c>
      <c r="D61">
        <v>1</v>
      </c>
    </row>
    <row r="62" spans="1:4" x14ac:dyDescent="0.25">
      <c r="A62" t="s">
        <v>3</v>
      </c>
      <c r="B62" t="s">
        <v>11</v>
      </c>
      <c r="C62" t="s">
        <v>40</v>
      </c>
      <c r="D62">
        <v>1</v>
      </c>
    </row>
    <row r="63" spans="1:4" x14ac:dyDescent="0.25">
      <c r="A63" t="s">
        <v>4</v>
      </c>
      <c r="B63" t="s">
        <v>11</v>
      </c>
      <c r="C63" t="s">
        <v>40</v>
      </c>
      <c r="D63">
        <v>1</v>
      </c>
    </row>
    <row r="64" spans="1:4" x14ac:dyDescent="0.25">
      <c r="A64" t="s">
        <v>5</v>
      </c>
      <c r="B64" t="s">
        <v>11</v>
      </c>
      <c r="C64" t="s">
        <v>40</v>
      </c>
      <c r="D64">
        <v>1</v>
      </c>
    </row>
    <row r="65" spans="1:4" x14ac:dyDescent="0.25">
      <c r="A65" t="s">
        <v>6</v>
      </c>
      <c r="B65" t="s">
        <v>11</v>
      </c>
      <c r="C65" t="s">
        <v>40</v>
      </c>
      <c r="D65">
        <v>1</v>
      </c>
    </row>
    <row r="66" spans="1:4" x14ac:dyDescent="0.25">
      <c r="A66" t="s">
        <v>7</v>
      </c>
      <c r="B66" t="s">
        <v>11</v>
      </c>
      <c r="C66" t="s">
        <v>40</v>
      </c>
      <c r="D66">
        <v>1</v>
      </c>
    </row>
    <row r="67" spans="1:4" x14ac:dyDescent="0.25">
      <c r="A67" t="s">
        <v>8</v>
      </c>
      <c r="B67" t="s">
        <v>11</v>
      </c>
      <c r="C67" t="s">
        <v>40</v>
      </c>
      <c r="D67">
        <v>1</v>
      </c>
    </row>
    <row r="68" spans="1:4" x14ac:dyDescent="0.25">
      <c r="A68" t="s">
        <v>3</v>
      </c>
      <c r="B68" t="s">
        <v>12</v>
      </c>
      <c r="C68" t="s">
        <v>46</v>
      </c>
      <c r="D68">
        <v>1</v>
      </c>
    </row>
    <row r="69" spans="1:4" x14ac:dyDescent="0.25">
      <c r="A69" t="s">
        <v>4</v>
      </c>
      <c r="B69" t="s">
        <v>12</v>
      </c>
      <c r="C69" t="s">
        <v>46</v>
      </c>
      <c r="D69">
        <v>1</v>
      </c>
    </row>
    <row r="70" spans="1:4" x14ac:dyDescent="0.25">
      <c r="A70" t="s">
        <v>5</v>
      </c>
      <c r="B70" t="s">
        <v>12</v>
      </c>
      <c r="C70" t="s">
        <v>46</v>
      </c>
      <c r="D70">
        <v>1</v>
      </c>
    </row>
    <row r="71" spans="1:4" x14ac:dyDescent="0.25">
      <c r="A71" t="s">
        <v>6</v>
      </c>
      <c r="B71" t="s">
        <v>12</v>
      </c>
      <c r="C71" t="s">
        <v>46</v>
      </c>
      <c r="D71">
        <v>1</v>
      </c>
    </row>
    <row r="72" spans="1:4" x14ac:dyDescent="0.25">
      <c r="A72" t="s">
        <v>7</v>
      </c>
      <c r="B72" t="s">
        <v>12</v>
      </c>
      <c r="C72" t="s">
        <v>46</v>
      </c>
      <c r="D72">
        <v>1</v>
      </c>
    </row>
    <row r="73" spans="1:4" x14ac:dyDescent="0.25">
      <c r="A73" t="s">
        <v>8</v>
      </c>
      <c r="B73" t="s">
        <v>12</v>
      </c>
      <c r="C73" t="s">
        <v>46</v>
      </c>
      <c r="D73">
        <v>1</v>
      </c>
    </row>
    <row r="74" spans="1:4" x14ac:dyDescent="0.25">
      <c r="A74" t="s">
        <v>3</v>
      </c>
      <c r="B74" t="s">
        <v>11</v>
      </c>
      <c r="C74" t="s">
        <v>43</v>
      </c>
      <c r="D74">
        <v>1</v>
      </c>
    </row>
    <row r="75" spans="1:4" x14ac:dyDescent="0.25">
      <c r="A75" t="s">
        <v>4</v>
      </c>
      <c r="B75" t="s">
        <v>11</v>
      </c>
      <c r="C75" t="s">
        <v>43</v>
      </c>
      <c r="D75">
        <v>1</v>
      </c>
    </row>
    <row r="76" spans="1:4" x14ac:dyDescent="0.25">
      <c r="A76" t="s">
        <v>5</v>
      </c>
      <c r="B76" t="s">
        <v>11</v>
      </c>
      <c r="C76" t="s">
        <v>43</v>
      </c>
      <c r="D76">
        <v>1</v>
      </c>
    </row>
    <row r="77" spans="1:4" x14ac:dyDescent="0.25">
      <c r="A77" t="s">
        <v>6</v>
      </c>
      <c r="B77" t="s">
        <v>11</v>
      </c>
      <c r="C77" t="s">
        <v>43</v>
      </c>
      <c r="D77">
        <v>1</v>
      </c>
    </row>
    <row r="78" spans="1:4" x14ac:dyDescent="0.25">
      <c r="A78" t="s">
        <v>7</v>
      </c>
      <c r="B78" t="s">
        <v>11</v>
      </c>
      <c r="C78" t="s">
        <v>43</v>
      </c>
      <c r="D78">
        <v>1</v>
      </c>
    </row>
    <row r="79" spans="1:4" x14ac:dyDescent="0.25">
      <c r="A79" t="s">
        <v>8</v>
      </c>
      <c r="B79" t="s">
        <v>11</v>
      </c>
      <c r="C79" t="s">
        <v>43</v>
      </c>
      <c r="D79">
        <v>1</v>
      </c>
    </row>
  </sheetData>
  <autoFilter ref="A1:D79" xr:uid="{828AF720-D7F0-4478-B579-5F216F071FC4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3"/>
  <sheetViews>
    <sheetView workbookViewId="0">
      <selection activeCell="E161" sqref="E161"/>
    </sheetView>
  </sheetViews>
  <sheetFormatPr defaultRowHeight="15" x14ac:dyDescent="0.25"/>
  <cols>
    <col min="2" max="2" width="15.7109375" bestFit="1" customWidth="1"/>
    <col min="3" max="3" width="13.85546875" bestFit="1" customWidth="1"/>
    <col min="5" max="5" width="15.42578125" customWidth="1"/>
  </cols>
  <sheetData>
    <row r="1" spans="1:5" x14ac:dyDescent="0.25">
      <c r="A1" s="1" t="s">
        <v>35</v>
      </c>
      <c r="B1" s="1" t="s">
        <v>34</v>
      </c>
      <c r="C1" s="1" t="s">
        <v>26</v>
      </c>
      <c r="D1" s="1" t="s">
        <v>37</v>
      </c>
      <c r="E1" s="1" t="s">
        <v>1</v>
      </c>
    </row>
    <row r="2" spans="1:5" x14ac:dyDescent="0.25">
      <c r="A2" t="s">
        <v>11</v>
      </c>
      <c r="B2" t="s">
        <v>5</v>
      </c>
      <c r="C2" t="s">
        <v>28</v>
      </c>
      <c r="D2" t="s">
        <v>47</v>
      </c>
      <c r="E2">
        <v>0.7</v>
      </c>
    </row>
    <row r="3" spans="1:5" x14ac:dyDescent="0.25">
      <c r="A3" t="s">
        <v>11</v>
      </c>
      <c r="B3" t="s">
        <v>5</v>
      </c>
      <c r="C3" t="s">
        <v>29</v>
      </c>
      <c r="D3" t="s">
        <v>47</v>
      </c>
      <c r="E3">
        <v>0.7</v>
      </c>
    </row>
    <row r="4" spans="1:5" x14ac:dyDescent="0.25">
      <c r="A4" t="s">
        <v>11</v>
      </c>
      <c r="B4" t="s">
        <v>3</v>
      </c>
      <c r="C4" t="s">
        <v>28</v>
      </c>
      <c r="D4" t="s">
        <v>47</v>
      </c>
      <c r="E4">
        <v>1.0123</v>
      </c>
    </row>
    <row r="5" spans="1:5" x14ac:dyDescent="0.25">
      <c r="A5" t="s">
        <v>11</v>
      </c>
      <c r="B5" t="s">
        <v>3</v>
      </c>
      <c r="C5" t="s">
        <v>29</v>
      </c>
      <c r="D5" t="s">
        <v>47</v>
      </c>
      <c r="E5">
        <v>0.75490000000000002</v>
      </c>
    </row>
    <row r="6" spans="1:5" x14ac:dyDescent="0.25">
      <c r="A6" t="s">
        <v>11</v>
      </c>
      <c r="B6" t="s">
        <v>8</v>
      </c>
      <c r="C6" t="s">
        <v>28</v>
      </c>
      <c r="D6" t="s">
        <v>47</v>
      </c>
      <c r="E6">
        <v>0.95</v>
      </c>
    </row>
    <row r="7" spans="1:5" x14ac:dyDescent="0.25">
      <c r="A7" t="s">
        <v>11</v>
      </c>
      <c r="B7" t="s">
        <v>8</v>
      </c>
      <c r="C7" t="s">
        <v>29</v>
      </c>
      <c r="D7" t="s">
        <v>47</v>
      </c>
      <c r="E7">
        <v>0.9</v>
      </c>
    </row>
    <row r="8" spans="1:5" x14ac:dyDescent="0.25">
      <c r="A8" t="s">
        <v>11</v>
      </c>
      <c r="B8" t="s">
        <v>4</v>
      </c>
      <c r="C8" t="s">
        <v>28</v>
      </c>
      <c r="D8" t="s">
        <v>47</v>
      </c>
      <c r="E8">
        <v>1.0123</v>
      </c>
    </row>
    <row r="9" spans="1:5" x14ac:dyDescent="0.25">
      <c r="A9" t="s">
        <v>11</v>
      </c>
      <c r="B9" t="s">
        <v>4</v>
      </c>
      <c r="C9" t="s">
        <v>29</v>
      </c>
      <c r="D9" t="s">
        <v>47</v>
      </c>
      <c r="E9">
        <v>1.0387999999999999</v>
      </c>
    </row>
    <row r="10" spans="1:5" x14ac:dyDescent="0.25">
      <c r="A10" t="s">
        <v>11</v>
      </c>
      <c r="B10" t="s">
        <v>7</v>
      </c>
      <c r="C10" t="s">
        <v>28</v>
      </c>
      <c r="D10" t="s">
        <v>47</v>
      </c>
      <c r="E10">
        <v>0.7</v>
      </c>
    </row>
    <row r="11" spans="1:5" x14ac:dyDescent="0.25">
      <c r="A11" t="s">
        <v>11</v>
      </c>
      <c r="B11" t="s">
        <v>7</v>
      </c>
      <c r="C11" t="s">
        <v>29</v>
      </c>
      <c r="D11" t="s">
        <v>47</v>
      </c>
      <c r="E11">
        <v>0.7</v>
      </c>
    </row>
    <row r="12" spans="1:5" x14ac:dyDescent="0.25">
      <c r="A12" t="s">
        <v>11</v>
      </c>
      <c r="B12" t="s">
        <v>6</v>
      </c>
      <c r="C12" t="s">
        <v>28</v>
      </c>
      <c r="D12" t="s">
        <v>47</v>
      </c>
      <c r="E12">
        <v>0.39</v>
      </c>
    </row>
    <row r="13" spans="1:5" x14ac:dyDescent="0.25">
      <c r="A13" t="s">
        <v>11</v>
      </c>
      <c r="B13" t="s">
        <v>6</v>
      </c>
      <c r="C13" t="s">
        <v>29</v>
      </c>
      <c r="D13" t="s">
        <v>47</v>
      </c>
      <c r="E13">
        <v>0.52300000000000002</v>
      </c>
    </row>
    <row r="14" spans="1:5" x14ac:dyDescent="0.25">
      <c r="A14" t="s">
        <v>9</v>
      </c>
      <c r="B14" t="s">
        <v>5</v>
      </c>
      <c r="C14" t="s">
        <v>28</v>
      </c>
      <c r="D14" t="s">
        <v>47</v>
      </c>
      <c r="E14">
        <v>0.82750000000000001</v>
      </c>
    </row>
    <row r="15" spans="1:5" x14ac:dyDescent="0.25">
      <c r="A15" t="s">
        <v>9</v>
      </c>
      <c r="B15" t="s">
        <v>5</v>
      </c>
      <c r="C15" t="s">
        <v>28</v>
      </c>
      <c r="D15" t="s">
        <v>48</v>
      </c>
      <c r="E15">
        <v>0.82750000000000001</v>
      </c>
    </row>
    <row r="16" spans="1:5" x14ac:dyDescent="0.25">
      <c r="A16" t="s">
        <v>9</v>
      </c>
      <c r="B16" t="s">
        <v>5</v>
      </c>
      <c r="C16" t="s">
        <v>28</v>
      </c>
      <c r="D16" t="s">
        <v>25</v>
      </c>
      <c r="E16">
        <v>0.82750000000000001</v>
      </c>
    </row>
    <row r="17" spans="1:5" x14ac:dyDescent="0.25">
      <c r="A17" t="s">
        <v>9</v>
      </c>
      <c r="B17" t="s">
        <v>5</v>
      </c>
      <c r="C17" t="s">
        <v>29</v>
      </c>
      <c r="D17" t="s">
        <v>47</v>
      </c>
      <c r="E17">
        <v>0.93440000000000001</v>
      </c>
    </row>
    <row r="18" spans="1:5" x14ac:dyDescent="0.25">
      <c r="A18" t="s">
        <v>9</v>
      </c>
      <c r="B18" t="s">
        <v>5</v>
      </c>
      <c r="C18" t="s">
        <v>29</v>
      </c>
      <c r="D18" t="s">
        <v>48</v>
      </c>
      <c r="E18">
        <f>J142</f>
        <v>0</v>
      </c>
    </row>
    <row r="19" spans="1:5" x14ac:dyDescent="0.25">
      <c r="A19" t="s">
        <v>9</v>
      </c>
      <c r="B19" t="s">
        <v>5</v>
      </c>
      <c r="C19" t="s">
        <v>29</v>
      </c>
      <c r="D19" t="s">
        <v>25</v>
      </c>
      <c r="E19">
        <v>0.93440000000000001</v>
      </c>
    </row>
    <row r="20" spans="1:5" x14ac:dyDescent="0.25">
      <c r="A20" t="s">
        <v>9</v>
      </c>
      <c r="B20" t="s">
        <v>3</v>
      </c>
      <c r="C20" t="s">
        <v>28</v>
      </c>
      <c r="D20" t="s">
        <v>47</v>
      </c>
      <c r="E20">
        <v>0.89770000000000005</v>
      </c>
    </row>
    <row r="21" spans="1:5" x14ac:dyDescent="0.25">
      <c r="A21" t="s">
        <v>9</v>
      </c>
      <c r="B21" t="s">
        <v>3</v>
      </c>
      <c r="C21" t="s">
        <v>28</v>
      </c>
      <c r="D21" t="s">
        <v>48</v>
      </c>
      <c r="E21">
        <v>0.89770000000000005</v>
      </c>
    </row>
    <row r="22" spans="1:5" x14ac:dyDescent="0.25">
      <c r="A22" t="s">
        <v>9</v>
      </c>
      <c r="B22" t="s">
        <v>3</v>
      </c>
      <c r="C22" t="s">
        <v>28</v>
      </c>
      <c r="D22" t="s">
        <v>25</v>
      </c>
      <c r="E22">
        <v>0.89770000000000005</v>
      </c>
    </row>
    <row r="23" spans="1:5" x14ac:dyDescent="0.25">
      <c r="A23" t="s">
        <v>9</v>
      </c>
      <c r="B23" t="s">
        <v>3</v>
      </c>
      <c r="C23" t="s">
        <v>29</v>
      </c>
      <c r="D23" t="s">
        <v>47</v>
      </c>
      <c r="E23">
        <v>0.75490000000000002</v>
      </c>
    </row>
    <row r="24" spans="1:5" x14ac:dyDescent="0.25">
      <c r="A24" t="s">
        <v>9</v>
      </c>
      <c r="B24" t="s">
        <v>3</v>
      </c>
      <c r="C24" t="s">
        <v>29</v>
      </c>
      <c r="D24" t="s">
        <v>48</v>
      </c>
      <c r="E24">
        <v>0.75490000000000002</v>
      </c>
    </row>
    <row r="25" spans="1:5" x14ac:dyDescent="0.25">
      <c r="A25" t="s">
        <v>9</v>
      </c>
      <c r="B25" t="s">
        <v>3</v>
      </c>
      <c r="C25" t="s">
        <v>29</v>
      </c>
      <c r="D25" t="s">
        <v>25</v>
      </c>
      <c r="E25">
        <v>0.75490000000000002</v>
      </c>
    </row>
    <row r="26" spans="1:5" x14ac:dyDescent="0.25">
      <c r="A26" t="s">
        <v>9</v>
      </c>
      <c r="B26" t="s">
        <v>8</v>
      </c>
      <c r="C26" t="s">
        <v>28</v>
      </c>
      <c r="D26" t="s">
        <v>47</v>
      </c>
      <c r="E26">
        <v>1.1060000000000001</v>
      </c>
    </row>
    <row r="27" spans="1:5" x14ac:dyDescent="0.25">
      <c r="A27" t="s">
        <v>9</v>
      </c>
      <c r="B27" t="s">
        <v>8</v>
      </c>
      <c r="C27" t="s">
        <v>28</v>
      </c>
      <c r="D27" t="s">
        <v>48</v>
      </c>
      <c r="E27">
        <v>1</v>
      </c>
    </row>
    <row r="28" spans="1:5" x14ac:dyDescent="0.25">
      <c r="A28" t="s">
        <v>9</v>
      </c>
      <c r="B28" t="s">
        <v>8</v>
      </c>
      <c r="C28" t="s">
        <v>28</v>
      </c>
      <c r="D28" t="s">
        <v>25</v>
      </c>
      <c r="E28">
        <v>1.1060000000000001</v>
      </c>
    </row>
    <row r="29" spans="1:5" x14ac:dyDescent="0.25">
      <c r="A29" t="s">
        <v>9</v>
      </c>
      <c r="B29" t="s">
        <v>8</v>
      </c>
      <c r="C29" t="s">
        <v>29</v>
      </c>
      <c r="D29" t="s">
        <v>47</v>
      </c>
      <c r="E29">
        <v>0.58799999999999997</v>
      </c>
    </row>
    <row r="30" spans="1:5" x14ac:dyDescent="0.25">
      <c r="A30" t="s">
        <v>9</v>
      </c>
      <c r="B30" t="s">
        <v>8</v>
      </c>
      <c r="C30" t="s">
        <v>29</v>
      </c>
      <c r="D30" t="s">
        <v>48</v>
      </c>
      <c r="E30">
        <v>0.58799999999999997</v>
      </c>
    </row>
    <row r="31" spans="1:5" x14ac:dyDescent="0.25">
      <c r="A31" t="s">
        <v>9</v>
      </c>
      <c r="B31" t="s">
        <v>8</v>
      </c>
      <c r="C31" t="s">
        <v>29</v>
      </c>
      <c r="D31" t="s">
        <v>25</v>
      </c>
      <c r="E31">
        <v>0.58799999999999997</v>
      </c>
    </row>
    <row r="32" spans="1:5" x14ac:dyDescent="0.25">
      <c r="A32" t="s">
        <v>9</v>
      </c>
      <c r="B32" t="s">
        <v>4</v>
      </c>
      <c r="C32" t="s">
        <v>28</v>
      </c>
      <c r="D32" t="s">
        <v>47</v>
      </c>
      <c r="E32">
        <v>1.052</v>
      </c>
    </row>
    <row r="33" spans="1:5" x14ac:dyDescent="0.25">
      <c r="A33" t="s">
        <v>9</v>
      </c>
      <c r="B33" t="s">
        <v>4</v>
      </c>
      <c r="C33" t="s">
        <v>28</v>
      </c>
      <c r="D33" t="s">
        <v>48</v>
      </c>
      <c r="E33">
        <v>1</v>
      </c>
    </row>
    <row r="34" spans="1:5" x14ac:dyDescent="0.25">
      <c r="A34" t="s">
        <v>9</v>
      </c>
      <c r="B34" t="s">
        <v>4</v>
      </c>
      <c r="C34" t="s">
        <v>28</v>
      </c>
      <c r="D34" t="s">
        <v>25</v>
      </c>
      <c r="E34">
        <v>1.052</v>
      </c>
    </row>
    <row r="35" spans="1:5" x14ac:dyDescent="0.25">
      <c r="A35" t="s">
        <v>9</v>
      </c>
      <c r="B35" t="s">
        <v>4</v>
      </c>
      <c r="C35" t="s">
        <v>29</v>
      </c>
      <c r="D35" t="s">
        <v>47</v>
      </c>
      <c r="E35">
        <v>1.0387999999999999</v>
      </c>
    </row>
    <row r="36" spans="1:5" x14ac:dyDescent="0.25">
      <c r="A36" t="s">
        <v>9</v>
      </c>
      <c r="B36" t="s">
        <v>4</v>
      </c>
      <c r="C36" t="s">
        <v>29</v>
      </c>
      <c r="D36" t="s">
        <v>48</v>
      </c>
      <c r="E36">
        <v>1.0387999999999999</v>
      </c>
    </row>
    <row r="37" spans="1:5" x14ac:dyDescent="0.25">
      <c r="A37" t="s">
        <v>9</v>
      </c>
      <c r="B37" t="s">
        <v>4</v>
      </c>
      <c r="C37" t="s">
        <v>29</v>
      </c>
      <c r="D37" t="s">
        <v>25</v>
      </c>
      <c r="E37">
        <v>1.0387999999999999</v>
      </c>
    </row>
    <row r="38" spans="1:5" x14ac:dyDescent="0.25">
      <c r="A38" t="s">
        <v>9</v>
      </c>
      <c r="B38" t="s">
        <v>7</v>
      </c>
      <c r="C38" t="s">
        <v>28</v>
      </c>
      <c r="D38" t="s">
        <v>47</v>
      </c>
      <c r="E38">
        <v>0.95740000000000003</v>
      </c>
    </row>
    <row r="39" spans="1:5" x14ac:dyDescent="0.25">
      <c r="A39" t="s">
        <v>9</v>
      </c>
      <c r="B39" t="s">
        <v>7</v>
      </c>
      <c r="C39" t="s">
        <v>28</v>
      </c>
      <c r="D39" t="s">
        <v>48</v>
      </c>
      <c r="E39">
        <v>0.95740000000000003</v>
      </c>
    </row>
    <row r="40" spans="1:5" x14ac:dyDescent="0.25">
      <c r="A40" t="s">
        <v>9</v>
      </c>
      <c r="B40" t="s">
        <v>7</v>
      </c>
      <c r="C40" t="s">
        <v>28</v>
      </c>
      <c r="D40" t="s">
        <v>25</v>
      </c>
      <c r="E40">
        <v>0.95740000000000003</v>
      </c>
    </row>
    <row r="41" spans="1:5" x14ac:dyDescent="0.25">
      <c r="A41" t="s">
        <v>9</v>
      </c>
      <c r="B41" t="s">
        <v>7</v>
      </c>
      <c r="C41" t="s">
        <v>29</v>
      </c>
      <c r="D41" t="s">
        <v>47</v>
      </c>
      <c r="E41">
        <v>1.0819000000000001</v>
      </c>
    </row>
    <row r="42" spans="1:5" x14ac:dyDescent="0.25">
      <c r="A42" t="s">
        <v>9</v>
      </c>
      <c r="B42" t="s">
        <v>7</v>
      </c>
      <c r="C42" t="s">
        <v>29</v>
      </c>
      <c r="D42" t="s">
        <v>48</v>
      </c>
      <c r="E42">
        <v>1.0819000000000001</v>
      </c>
    </row>
    <row r="43" spans="1:5" x14ac:dyDescent="0.25">
      <c r="A43" t="s">
        <v>9</v>
      </c>
      <c r="B43" t="s">
        <v>7</v>
      </c>
      <c r="C43" t="s">
        <v>29</v>
      </c>
      <c r="D43" t="s">
        <v>25</v>
      </c>
      <c r="E43">
        <v>1.0819000000000001</v>
      </c>
    </row>
    <row r="44" spans="1:5" x14ac:dyDescent="0.25">
      <c r="A44" t="s">
        <v>9</v>
      </c>
      <c r="B44" t="s">
        <v>6</v>
      </c>
      <c r="C44" t="s">
        <v>28</v>
      </c>
      <c r="D44" t="s">
        <v>47</v>
      </c>
      <c r="E44">
        <v>0.4889</v>
      </c>
    </row>
    <row r="45" spans="1:5" x14ac:dyDescent="0.25">
      <c r="A45" t="s">
        <v>9</v>
      </c>
      <c r="B45" t="s">
        <v>6</v>
      </c>
      <c r="C45" t="s">
        <v>28</v>
      </c>
      <c r="D45" t="s">
        <v>48</v>
      </c>
      <c r="E45">
        <v>0.4889</v>
      </c>
    </row>
    <row r="46" spans="1:5" x14ac:dyDescent="0.25">
      <c r="A46" t="s">
        <v>9</v>
      </c>
      <c r="B46" t="s">
        <v>6</v>
      </c>
      <c r="C46" t="s">
        <v>28</v>
      </c>
      <c r="D46" t="s">
        <v>25</v>
      </c>
      <c r="E46">
        <v>0.4889</v>
      </c>
    </row>
    <row r="47" spans="1:5" x14ac:dyDescent="0.25">
      <c r="A47" t="s">
        <v>9</v>
      </c>
      <c r="B47" t="s">
        <v>6</v>
      </c>
      <c r="C47" t="s">
        <v>29</v>
      </c>
      <c r="D47" t="s">
        <v>47</v>
      </c>
      <c r="E47">
        <v>0.38800000000000001</v>
      </c>
    </row>
    <row r="48" spans="1:5" x14ac:dyDescent="0.25">
      <c r="A48" t="s">
        <v>9</v>
      </c>
      <c r="B48" t="s">
        <v>6</v>
      </c>
      <c r="C48" t="s">
        <v>29</v>
      </c>
      <c r="D48" t="s">
        <v>48</v>
      </c>
      <c r="E48">
        <v>0.38800000000000001</v>
      </c>
    </row>
    <row r="49" spans="1:5" x14ac:dyDescent="0.25">
      <c r="A49" t="s">
        <v>9</v>
      </c>
      <c r="B49" t="s">
        <v>6</v>
      </c>
      <c r="C49" t="s">
        <v>29</v>
      </c>
      <c r="D49" t="s">
        <v>25</v>
      </c>
      <c r="E49">
        <v>0.38800000000000001</v>
      </c>
    </row>
    <row r="50" spans="1:5" x14ac:dyDescent="0.25">
      <c r="A50" t="s">
        <v>12</v>
      </c>
      <c r="B50" t="s">
        <v>5</v>
      </c>
      <c r="C50" t="s">
        <v>28</v>
      </c>
      <c r="D50" t="s">
        <v>47</v>
      </c>
      <c r="E50">
        <v>0.33600000000000002</v>
      </c>
    </row>
    <row r="51" spans="1:5" x14ac:dyDescent="0.25">
      <c r="A51" t="s">
        <v>12</v>
      </c>
      <c r="B51" t="s">
        <v>5</v>
      </c>
      <c r="C51" t="s">
        <v>29</v>
      </c>
      <c r="D51" t="s">
        <v>47</v>
      </c>
      <c r="E51">
        <v>0.28699999999999998</v>
      </c>
    </row>
    <row r="52" spans="1:5" x14ac:dyDescent="0.25">
      <c r="A52" t="s">
        <v>12</v>
      </c>
      <c r="B52" t="s">
        <v>3</v>
      </c>
      <c r="C52" t="s">
        <v>28</v>
      </c>
      <c r="D52" t="s">
        <v>47</v>
      </c>
      <c r="E52">
        <v>0.48759999999999998</v>
      </c>
    </row>
    <row r="53" spans="1:5" x14ac:dyDescent="0.25">
      <c r="A53" t="s">
        <v>12</v>
      </c>
      <c r="B53" t="s">
        <v>3</v>
      </c>
      <c r="C53" t="s">
        <v>29</v>
      </c>
      <c r="D53" t="s">
        <v>47</v>
      </c>
      <c r="E53">
        <v>0.57999999999999996</v>
      </c>
    </row>
    <row r="54" spans="1:5" x14ac:dyDescent="0.25">
      <c r="A54" t="s">
        <v>12</v>
      </c>
      <c r="B54" t="s">
        <v>8</v>
      </c>
      <c r="C54" t="s">
        <v>28</v>
      </c>
      <c r="D54" t="s">
        <v>47</v>
      </c>
      <c r="E54">
        <v>0.45600000000000002</v>
      </c>
    </row>
    <row r="55" spans="1:5" x14ac:dyDescent="0.25">
      <c r="A55" t="s">
        <v>12</v>
      </c>
      <c r="B55" t="s">
        <v>8</v>
      </c>
      <c r="C55" t="s">
        <v>29</v>
      </c>
      <c r="D55" t="s">
        <v>47</v>
      </c>
      <c r="E55">
        <v>0.36899999999999999</v>
      </c>
    </row>
    <row r="56" spans="1:5" x14ac:dyDescent="0.25">
      <c r="A56" t="s">
        <v>12</v>
      </c>
      <c r="B56" t="s">
        <v>4</v>
      </c>
      <c r="C56" t="s">
        <v>28</v>
      </c>
      <c r="D56" t="s">
        <v>47</v>
      </c>
      <c r="E56">
        <v>0.48759999999999998</v>
      </c>
    </row>
    <row r="57" spans="1:5" x14ac:dyDescent="0.25">
      <c r="A57" t="s">
        <v>12</v>
      </c>
      <c r="B57" t="s">
        <v>4</v>
      </c>
      <c r="C57" t="s">
        <v>29</v>
      </c>
      <c r="D57" t="s">
        <v>47</v>
      </c>
      <c r="E57">
        <v>0.57999999999999996</v>
      </c>
    </row>
    <row r="58" spans="1:5" x14ac:dyDescent="0.25">
      <c r="A58" t="s">
        <v>12</v>
      </c>
      <c r="B58" t="s">
        <v>7</v>
      </c>
      <c r="C58" t="s">
        <v>28</v>
      </c>
      <c r="D58" t="s">
        <v>47</v>
      </c>
      <c r="E58">
        <v>0.33600000000000002</v>
      </c>
    </row>
    <row r="59" spans="1:5" x14ac:dyDescent="0.25">
      <c r="A59" t="s">
        <v>12</v>
      </c>
      <c r="B59" t="s">
        <v>7</v>
      </c>
      <c r="C59" t="s">
        <v>29</v>
      </c>
      <c r="D59" t="s">
        <v>47</v>
      </c>
      <c r="E59">
        <v>0.28699999999999998</v>
      </c>
    </row>
    <row r="60" spans="1:5" x14ac:dyDescent="0.25">
      <c r="A60" t="s">
        <v>12</v>
      </c>
      <c r="B60" t="s">
        <v>6</v>
      </c>
      <c r="C60" t="s">
        <v>28</v>
      </c>
      <c r="D60" t="s">
        <v>47</v>
      </c>
      <c r="E60">
        <v>0.28799999999999998</v>
      </c>
    </row>
    <row r="61" spans="1:5" x14ac:dyDescent="0.25">
      <c r="A61" t="s">
        <v>12</v>
      </c>
      <c r="B61" t="s">
        <v>6</v>
      </c>
      <c r="C61" t="s">
        <v>29</v>
      </c>
      <c r="D61" t="s">
        <v>47</v>
      </c>
      <c r="E61">
        <v>0.246</v>
      </c>
    </row>
    <row r="62" spans="1:5" x14ac:dyDescent="0.25">
      <c r="A62" t="s">
        <v>10</v>
      </c>
      <c r="B62" t="s">
        <v>5</v>
      </c>
      <c r="C62" t="s">
        <v>28</v>
      </c>
      <c r="D62" t="s">
        <v>47</v>
      </c>
      <c r="E62">
        <v>0.33600000000000002</v>
      </c>
    </row>
    <row r="63" spans="1:5" x14ac:dyDescent="0.25">
      <c r="A63" t="s">
        <v>10</v>
      </c>
      <c r="B63" t="s">
        <v>3</v>
      </c>
      <c r="C63" t="s">
        <v>28</v>
      </c>
      <c r="D63" t="s">
        <v>47</v>
      </c>
      <c r="E63">
        <v>0.4763</v>
      </c>
    </row>
    <row r="64" spans="1:5" x14ac:dyDescent="0.25">
      <c r="A64" t="s">
        <v>10</v>
      </c>
      <c r="B64" t="s">
        <v>8</v>
      </c>
      <c r="C64" t="s">
        <v>28</v>
      </c>
      <c r="D64" t="s">
        <v>47</v>
      </c>
      <c r="E64">
        <v>0.45600000000000002</v>
      </c>
    </row>
    <row r="65" spans="1:5" x14ac:dyDescent="0.25">
      <c r="A65" t="s">
        <v>10</v>
      </c>
      <c r="B65" t="s">
        <v>4</v>
      </c>
      <c r="C65" t="s">
        <v>28</v>
      </c>
      <c r="D65" t="s">
        <v>47</v>
      </c>
      <c r="E65">
        <v>0.53439999999999999</v>
      </c>
    </row>
    <row r="66" spans="1:5" x14ac:dyDescent="0.25">
      <c r="A66" t="s">
        <v>10</v>
      </c>
      <c r="B66" t="s">
        <v>7</v>
      </c>
      <c r="C66" t="s">
        <v>28</v>
      </c>
      <c r="D66" t="s">
        <v>47</v>
      </c>
      <c r="E66">
        <v>0.33600000000000002</v>
      </c>
    </row>
    <row r="67" spans="1:5" x14ac:dyDescent="0.25">
      <c r="A67" t="s">
        <v>10</v>
      </c>
      <c r="B67" t="s">
        <v>6</v>
      </c>
      <c r="C67" t="s">
        <v>28</v>
      </c>
      <c r="D67" t="s">
        <v>47</v>
      </c>
      <c r="E67">
        <v>0.36</v>
      </c>
    </row>
    <row r="68" spans="1:5" x14ac:dyDescent="0.25">
      <c r="A68" t="s">
        <v>11</v>
      </c>
      <c r="B68" t="s">
        <v>5</v>
      </c>
      <c r="C68" t="s">
        <v>31</v>
      </c>
      <c r="D68" t="s">
        <v>47</v>
      </c>
      <c r="E68">
        <v>1</v>
      </c>
    </row>
    <row r="69" spans="1:5" x14ac:dyDescent="0.25">
      <c r="A69" t="s">
        <v>11</v>
      </c>
      <c r="B69" t="s">
        <v>3</v>
      </c>
      <c r="C69" t="s">
        <v>31</v>
      </c>
      <c r="D69" t="s">
        <v>47</v>
      </c>
      <c r="E69">
        <v>1</v>
      </c>
    </row>
    <row r="70" spans="1:5" x14ac:dyDescent="0.25">
      <c r="A70" t="s">
        <v>11</v>
      </c>
      <c r="B70" t="s">
        <v>8</v>
      </c>
      <c r="C70" t="s">
        <v>31</v>
      </c>
      <c r="D70" t="s">
        <v>47</v>
      </c>
      <c r="E70">
        <v>1</v>
      </c>
    </row>
    <row r="71" spans="1:5" x14ac:dyDescent="0.25">
      <c r="A71" t="s">
        <v>11</v>
      </c>
      <c r="B71" t="s">
        <v>4</v>
      </c>
      <c r="C71" t="s">
        <v>31</v>
      </c>
      <c r="D71" t="s">
        <v>47</v>
      </c>
      <c r="E71">
        <v>1</v>
      </c>
    </row>
    <row r="72" spans="1:5" x14ac:dyDescent="0.25">
      <c r="A72" t="s">
        <v>11</v>
      </c>
      <c r="B72" t="s">
        <v>7</v>
      </c>
      <c r="C72" t="s">
        <v>31</v>
      </c>
      <c r="D72" t="s">
        <v>47</v>
      </c>
      <c r="E72">
        <v>1</v>
      </c>
    </row>
    <row r="73" spans="1:5" x14ac:dyDescent="0.25">
      <c r="A73" t="s">
        <v>11</v>
      </c>
      <c r="B73" t="s">
        <v>6</v>
      </c>
      <c r="C73" t="s">
        <v>31</v>
      </c>
      <c r="D73" t="s">
        <v>47</v>
      </c>
      <c r="E73">
        <v>1</v>
      </c>
    </row>
    <row r="74" spans="1:5" x14ac:dyDescent="0.25">
      <c r="A74" t="s">
        <v>9</v>
      </c>
      <c r="B74" t="s">
        <v>5</v>
      </c>
      <c r="C74" t="s">
        <v>31</v>
      </c>
      <c r="D74" t="s">
        <v>47</v>
      </c>
      <c r="E74">
        <v>1</v>
      </c>
    </row>
    <row r="75" spans="1:5" x14ac:dyDescent="0.25">
      <c r="A75" t="s">
        <v>9</v>
      </c>
      <c r="B75" t="s">
        <v>5</v>
      </c>
      <c r="C75" t="s">
        <v>31</v>
      </c>
      <c r="D75" t="s">
        <v>48</v>
      </c>
      <c r="E75">
        <v>1</v>
      </c>
    </row>
    <row r="76" spans="1:5" x14ac:dyDescent="0.25">
      <c r="A76" t="s">
        <v>9</v>
      </c>
      <c r="B76" t="s">
        <v>5</v>
      </c>
      <c r="C76" t="s">
        <v>31</v>
      </c>
      <c r="D76" t="s">
        <v>25</v>
      </c>
      <c r="E76">
        <v>1</v>
      </c>
    </row>
    <row r="77" spans="1:5" x14ac:dyDescent="0.25">
      <c r="A77" t="s">
        <v>9</v>
      </c>
      <c r="B77" t="s">
        <v>3</v>
      </c>
      <c r="C77" t="s">
        <v>31</v>
      </c>
      <c r="D77" t="s">
        <v>47</v>
      </c>
      <c r="E77">
        <v>1</v>
      </c>
    </row>
    <row r="78" spans="1:5" x14ac:dyDescent="0.25">
      <c r="A78" t="s">
        <v>9</v>
      </c>
      <c r="B78" t="s">
        <v>3</v>
      </c>
      <c r="C78" t="s">
        <v>31</v>
      </c>
      <c r="D78" t="s">
        <v>48</v>
      </c>
      <c r="E78">
        <v>1</v>
      </c>
    </row>
    <row r="79" spans="1:5" x14ac:dyDescent="0.25">
      <c r="A79" t="s">
        <v>9</v>
      </c>
      <c r="B79" t="s">
        <v>3</v>
      </c>
      <c r="C79" t="s">
        <v>31</v>
      </c>
      <c r="D79" t="s">
        <v>25</v>
      </c>
      <c r="E79">
        <v>1</v>
      </c>
    </row>
    <row r="80" spans="1:5" x14ac:dyDescent="0.25">
      <c r="A80" t="s">
        <v>9</v>
      </c>
      <c r="B80" t="s">
        <v>8</v>
      </c>
      <c r="C80" t="s">
        <v>31</v>
      </c>
      <c r="D80" t="s">
        <v>47</v>
      </c>
      <c r="E80">
        <v>1</v>
      </c>
    </row>
    <row r="81" spans="1:5" x14ac:dyDescent="0.25">
      <c r="A81" t="s">
        <v>9</v>
      </c>
      <c r="B81" t="s">
        <v>8</v>
      </c>
      <c r="C81" t="s">
        <v>31</v>
      </c>
      <c r="D81" t="s">
        <v>48</v>
      </c>
      <c r="E81">
        <v>1</v>
      </c>
    </row>
    <row r="82" spans="1:5" x14ac:dyDescent="0.25">
      <c r="A82" t="s">
        <v>9</v>
      </c>
      <c r="B82" t="s">
        <v>8</v>
      </c>
      <c r="C82" t="s">
        <v>31</v>
      </c>
      <c r="D82" t="s">
        <v>25</v>
      </c>
      <c r="E82">
        <v>1</v>
      </c>
    </row>
    <row r="83" spans="1:5" x14ac:dyDescent="0.25">
      <c r="A83" t="s">
        <v>9</v>
      </c>
      <c r="B83" t="s">
        <v>4</v>
      </c>
      <c r="C83" t="s">
        <v>31</v>
      </c>
      <c r="D83" t="s">
        <v>47</v>
      </c>
      <c r="E83">
        <v>1</v>
      </c>
    </row>
    <row r="84" spans="1:5" x14ac:dyDescent="0.25">
      <c r="A84" t="s">
        <v>9</v>
      </c>
      <c r="B84" t="s">
        <v>4</v>
      </c>
      <c r="C84" t="s">
        <v>31</v>
      </c>
      <c r="D84" t="s">
        <v>48</v>
      </c>
      <c r="E84">
        <v>1</v>
      </c>
    </row>
    <row r="85" spans="1:5" x14ac:dyDescent="0.25">
      <c r="A85" t="s">
        <v>9</v>
      </c>
      <c r="B85" t="s">
        <v>4</v>
      </c>
      <c r="C85" t="s">
        <v>31</v>
      </c>
      <c r="D85" t="s">
        <v>25</v>
      </c>
      <c r="E85">
        <v>1</v>
      </c>
    </row>
    <row r="86" spans="1:5" x14ac:dyDescent="0.25">
      <c r="A86" t="s">
        <v>9</v>
      </c>
      <c r="B86" t="s">
        <v>7</v>
      </c>
      <c r="C86" t="s">
        <v>31</v>
      </c>
      <c r="D86" t="s">
        <v>47</v>
      </c>
      <c r="E86">
        <v>1</v>
      </c>
    </row>
    <row r="87" spans="1:5" x14ac:dyDescent="0.25">
      <c r="A87" t="s">
        <v>9</v>
      </c>
      <c r="B87" t="s">
        <v>7</v>
      </c>
      <c r="C87" t="s">
        <v>31</v>
      </c>
      <c r="D87" t="s">
        <v>48</v>
      </c>
      <c r="E87">
        <v>1</v>
      </c>
    </row>
    <row r="88" spans="1:5" x14ac:dyDescent="0.25">
      <c r="A88" t="s">
        <v>9</v>
      </c>
      <c r="B88" t="s">
        <v>7</v>
      </c>
      <c r="C88" t="s">
        <v>31</v>
      </c>
      <c r="D88" t="s">
        <v>25</v>
      </c>
      <c r="E88">
        <v>1</v>
      </c>
    </row>
    <row r="89" spans="1:5" x14ac:dyDescent="0.25">
      <c r="A89" t="s">
        <v>9</v>
      </c>
      <c r="B89" t="s">
        <v>6</v>
      </c>
      <c r="C89" t="s">
        <v>31</v>
      </c>
      <c r="D89" t="s">
        <v>47</v>
      </c>
      <c r="E89">
        <v>1</v>
      </c>
    </row>
    <row r="90" spans="1:5" x14ac:dyDescent="0.25">
      <c r="A90" t="s">
        <v>9</v>
      </c>
      <c r="B90" t="s">
        <v>6</v>
      </c>
      <c r="C90" t="s">
        <v>31</v>
      </c>
      <c r="D90" t="s">
        <v>48</v>
      </c>
      <c r="E90">
        <v>1</v>
      </c>
    </row>
    <row r="91" spans="1:5" x14ac:dyDescent="0.25">
      <c r="A91" t="s">
        <v>9</v>
      </c>
      <c r="B91" t="s">
        <v>6</v>
      </c>
      <c r="C91" t="s">
        <v>31</v>
      </c>
      <c r="D91" t="s">
        <v>25</v>
      </c>
      <c r="E91">
        <v>1</v>
      </c>
    </row>
    <row r="92" spans="1:5" x14ac:dyDescent="0.25">
      <c r="A92" t="s">
        <v>12</v>
      </c>
      <c r="B92" t="s">
        <v>5</v>
      </c>
      <c r="C92" t="s">
        <v>31</v>
      </c>
      <c r="D92" t="s">
        <v>47</v>
      </c>
      <c r="E92">
        <v>1</v>
      </c>
    </row>
    <row r="93" spans="1:5" x14ac:dyDescent="0.25">
      <c r="A93" t="s">
        <v>12</v>
      </c>
      <c r="B93" t="s">
        <v>3</v>
      </c>
      <c r="C93" t="s">
        <v>31</v>
      </c>
      <c r="D93" t="s">
        <v>47</v>
      </c>
      <c r="E93">
        <v>1</v>
      </c>
    </row>
    <row r="94" spans="1:5" x14ac:dyDescent="0.25">
      <c r="A94" t="s">
        <v>12</v>
      </c>
      <c r="B94" t="s">
        <v>8</v>
      </c>
      <c r="C94" t="s">
        <v>31</v>
      </c>
      <c r="D94" t="s">
        <v>47</v>
      </c>
      <c r="E94">
        <v>1</v>
      </c>
    </row>
    <row r="95" spans="1:5" x14ac:dyDescent="0.25">
      <c r="A95" t="s">
        <v>12</v>
      </c>
      <c r="B95" t="s">
        <v>4</v>
      </c>
      <c r="C95" t="s">
        <v>31</v>
      </c>
      <c r="D95" t="s">
        <v>47</v>
      </c>
      <c r="E95">
        <v>1</v>
      </c>
    </row>
    <row r="96" spans="1:5" x14ac:dyDescent="0.25">
      <c r="A96" t="s">
        <v>12</v>
      </c>
      <c r="B96" t="s">
        <v>7</v>
      </c>
      <c r="C96" t="s">
        <v>31</v>
      </c>
      <c r="D96" t="s">
        <v>47</v>
      </c>
      <c r="E96">
        <v>1</v>
      </c>
    </row>
    <row r="97" spans="1:5" x14ac:dyDescent="0.25">
      <c r="A97" t="s">
        <v>12</v>
      </c>
      <c r="B97" t="s">
        <v>6</v>
      </c>
      <c r="C97" t="s">
        <v>31</v>
      </c>
      <c r="D97" t="s">
        <v>47</v>
      </c>
      <c r="E97">
        <v>1</v>
      </c>
    </row>
    <row r="98" spans="1:5" x14ac:dyDescent="0.25">
      <c r="A98" t="s">
        <v>10</v>
      </c>
      <c r="B98" t="s">
        <v>5</v>
      </c>
      <c r="C98" t="s">
        <v>31</v>
      </c>
      <c r="D98" t="s">
        <v>47</v>
      </c>
      <c r="E98">
        <v>1</v>
      </c>
    </row>
    <row r="99" spans="1:5" x14ac:dyDescent="0.25">
      <c r="A99" t="s">
        <v>10</v>
      </c>
      <c r="B99" t="s">
        <v>3</v>
      </c>
      <c r="C99" t="s">
        <v>31</v>
      </c>
      <c r="D99" t="s">
        <v>47</v>
      </c>
      <c r="E99">
        <v>1</v>
      </c>
    </row>
    <row r="100" spans="1:5" x14ac:dyDescent="0.25">
      <c r="A100" t="s">
        <v>10</v>
      </c>
      <c r="B100" t="s">
        <v>8</v>
      </c>
      <c r="C100" t="s">
        <v>31</v>
      </c>
      <c r="D100" t="s">
        <v>47</v>
      </c>
      <c r="E100">
        <v>1</v>
      </c>
    </row>
    <row r="101" spans="1:5" x14ac:dyDescent="0.25">
      <c r="A101" t="s">
        <v>10</v>
      </c>
      <c r="B101" t="s">
        <v>4</v>
      </c>
      <c r="C101" t="s">
        <v>31</v>
      </c>
      <c r="D101" t="s">
        <v>47</v>
      </c>
      <c r="E101">
        <v>1</v>
      </c>
    </row>
    <row r="102" spans="1:5" x14ac:dyDescent="0.25">
      <c r="A102" t="s">
        <v>10</v>
      </c>
      <c r="B102" t="s">
        <v>7</v>
      </c>
      <c r="C102" t="s">
        <v>31</v>
      </c>
      <c r="D102" t="s">
        <v>47</v>
      </c>
      <c r="E102">
        <v>1</v>
      </c>
    </row>
    <row r="103" spans="1:5" x14ac:dyDescent="0.25">
      <c r="A103" t="s">
        <v>10</v>
      </c>
      <c r="B103" t="s">
        <v>6</v>
      </c>
      <c r="C103" t="s">
        <v>31</v>
      </c>
      <c r="D103" t="s">
        <v>47</v>
      </c>
      <c r="E103">
        <v>1</v>
      </c>
    </row>
    <row r="104" spans="1:5" x14ac:dyDescent="0.25">
      <c r="A104" t="s">
        <v>11</v>
      </c>
      <c r="B104" t="s">
        <v>5</v>
      </c>
      <c r="C104" t="s">
        <v>28</v>
      </c>
      <c r="D104" t="s">
        <v>25</v>
      </c>
      <c r="E104">
        <v>0.7</v>
      </c>
    </row>
    <row r="105" spans="1:5" x14ac:dyDescent="0.25">
      <c r="A105" t="s">
        <v>11</v>
      </c>
      <c r="B105" t="s">
        <v>5</v>
      </c>
      <c r="C105" t="s">
        <v>29</v>
      </c>
      <c r="D105" t="s">
        <v>25</v>
      </c>
      <c r="E105">
        <v>0.7</v>
      </c>
    </row>
    <row r="106" spans="1:5" x14ac:dyDescent="0.25">
      <c r="A106" t="s">
        <v>11</v>
      </c>
      <c r="B106" t="s">
        <v>3</v>
      </c>
      <c r="C106" t="s">
        <v>28</v>
      </c>
      <c r="D106" t="s">
        <v>25</v>
      </c>
      <c r="E106">
        <v>1.0123</v>
      </c>
    </row>
    <row r="107" spans="1:5" x14ac:dyDescent="0.25">
      <c r="A107" t="s">
        <v>11</v>
      </c>
      <c r="B107" t="s">
        <v>3</v>
      </c>
      <c r="C107" t="s">
        <v>29</v>
      </c>
      <c r="D107" t="s">
        <v>25</v>
      </c>
      <c r="E107">
        <v>0.75490000000000002</v>
      </c>
    </row>
    <row r="108" spans="1:5" x14ac:dyDescent="0.25">
      <c r="A108" t="s">
        <v>11</v>
      </c>
      <c r="B108" t="s">
        <v>8</v>
      </c>
      <c r="C108" t="s">
        <v>28</v>
      </c>
      <c r="D108" t="s">
        <v>25</v>
      </c>
      <c r="E108">
        <v>0.95</v>
      </c>
    </row>
    <row r="109" spans="1:5" x14ac:dyDescent="0.25">
      <c r="A109" t="s">
        <v>11</v>
      </c>
      <c r="B109" t="s">
        <v>8</v>
      </c>
      <c r="C109" t="s">
        <v>29</v>
      </c>
      <c r="D109" t="s">
        <v>25</v>
      </c>
      <c r="E109">
        <v>0.9</v>
      </c>
    </row>
    <row r="110" spans="1:5" x14ac:dyDescent="0.25">
      <c r="A110" t="s">
        <v>11</v>
      </c>
      <c r="B110" t="s">
        <v>4</v>
      </c>
      <c r="C110" t="s">
        <v>28</v>
      </c>
      <c r="D110" t="s">
        <v>25</v>
      </c>
      <c r="E110">
        <v>1.0123</v>
      </c>
    </row>
    <row r="111" spans="1:5" x14ac:dyDescent="0.25">
      <c r="A111" t="s">
        <v>11</v>
      </c>
      <c r="B111" t="s">
        <v>4</v>
      </c>
      <c r="C111" t="s">
        <v>29</v>
      </c>
      <c r="D111" t="s">
        <v>25</v>
      </c>
      <c r="E111">
        <v>1.0387999999999999</v>
      </c>
    </row>
    <row r="112" spans="1:5" x14ac:dyDescent="0.25">
      <c r="A112" t="s">
        <v>11</v>
      </c>
      <c r="B112" t="s">
        <v>7</v>
      </c>
      <c r="C112" t="s">
        <v>28</v>
      </c>
      <c r="D112" t="s">
        <v>25</v>
      </c>
      <c r="E112">
        <v>0.7</v>
      </c>
    </row>
    <row r="113" spans="1:5" x14ac:dyDescent="0.25">
      <c r="A113" t="s">
        <v>11</v>
      </c>
      <c r="B113" t="s">
        <v>7</v>
      </c>
      <c r="C113" t="s">
        <v>29</v>
      </c>
      <c r="D113" t="s">
        <v>25</v>
      </c>
      <c r="E113">
        <v>0.7</v>
      </c>
    </row>
    <row r="114" spans="1:5" x14ac:dyDescent="0.25">
      <c r="A114" t="s">
        <v>11</v>
      </c>
      <c r="B114" t="s">
        <v>6</v>
      </c>
      <c r="C114" t="s">
        <v>28</v>
      </c>
      <c r="D114" t="s">
        <v>25</v>
      </c>
      <c r="E114">
        <v>0.39</v>
      </c>
    </row>
    <row r="115" spans="1:5" x14ac:dyDescent="0.25">
      <c r="A115" t="s">
        <v>11</v>
      </c>
      <c r="B115" t="s">
        <v>6</v>
      </c>
      <c r="C115" t="s">
        <v>29</v>
      </c>
      <c r="D115" t="s">
        <v>25</v>
      </c>
      <c r="E115">
        <v>0.52300000000000002</v>
      </c>
    </row>
    <row r="116" spans="1:5" x14ac:dyDescent="0.25">
      <c r="A116" t="s">
        <v>11</v>
      </c>
      <c r="B116" t="s">
        <v>5</v>
      </c>
      <c r="C116" t="s">
        <v>31</v>
      </c>
      <c r="D116" t="s">
        <v>25</v>
      </c>
      <c r="E116">
        <v>1</v>
      </c>
    </row>
    <row r="117" spans="1:5" x14ac:dyDescent="0.25">
      <c r="A117" t="s">
        <v>11</v>
      </c>
      <c r="B117" t="s">
        <v>3</v>
      </c>
      <c r="C117" t="s">
        <v>31</v>
      </c>
      <c r="D117" t="s">
        <v>25</v>
      </c>
      <c r="E117">
        <v>1</v>
      </c>
    </row>
    <row r="118" spans="1:5" x14ac:dyDescent="0.25">
      <c r="A118" t="s">
        <v>11</v>
      </c>
      <c r="B118" t="s">
        <v>8</v>
      </c>
      <c r="C118" t="s">
        <v>31</v>
      </c>
      <c r="D118" t="s">
        <v>25</v>
      </c>
      <c r="E118">
        <v>1</v>
      </c>
    </row>
    <row r="119" spans="1:5" x14ac:dyDescent="0.25">
      <c r="A119" t="s">
        <v>11</v>
      </c>
      <c r="B119" t="s">
        <v>4</v>
      </c>
      <c r="C119" t="s">
        <v>31</v>
      </c>
      <c r="D119" t="s">
        <v>25</v>
      </c>
      <c r="E119">
        <v>1</v>
      </c>
    </row>
    <row r="120" spans="1:5" x14ac:dyDescent="0.25">
      <c r="A120" t="s">
        <v>11</v>
      </c>
      <c r="B120" t="s">
        <v>7</v>
      </c>
      <c r="C120" t="s">
        <v>31</v>
      </c>
      <c r="D120" t="s">
        <v>25</v>
      </c>
      <c r="E120">
        <v>1</v>
      </c>
    </row>
    <row r="121" spans="1:5" x14ac:dyDescent="0.25">
      <c r="A121" t="s">
        <v>11</v>
      </c>
      <c r="B121" t="s">
        <v>6</v>
      </c>
      <c r="C121" t="s">
        <v>31</v>
      </c>
      <c r="D121" t="s">
        <v>25</v>
      </c>
      <c r="E121">
        <v>1</v>
      </c>
    </row>
    <row r="122" spans="1:5" x14ac:dyDescent="0.25">
      <c r="A122" t="s">
        <v>11</v>
      </c>
      <c r="B122" t="s">
        <v>5</v>
      </c>
      <c r="C122" t="s">
        <v>28</v>
      </c>
      <c r="D122" t="s">
        <v>48</v>
      </c>
      <c r="E122">
        <v>0.7</v>
      </c>
    </row>
    <row r="123" spans="1:5" x14ac:dyDescent="0.25">
      <c r="A123" t="s">
        <v>11</v>
      </c>
      <c r="B123" t="s">
        <v>5</v>
      </c>
      <c r="C123" t="s">
        <v>29</v>
      </c>
      <c r="D123" t="s">
        <v>48</v>
      </c>
      <c r="E123">
        <v>0.7</v>
      </c>
    </row>
    <row r="124" spans="1:5" x14ac:dyDescent="0.25">
      <c r="A124" t="s">
        <v>11</v>
      </c>
      <c r="B124" t="s">
        <v>3</v>
      </c>
      <c r="C124" t="s">
        <v>28</v>
      </c>
      <c r="D124" t="s">
        <v>48</v>
      </c>
      <c r="E124">
        <v>1.0123</v>
      </c>
    </row>
    <row r="125" spans="1:5" x14ac:dyDescent="0.25">
      <c r="A125" t="s">
        <v>11</v>
      </c>
      <c r="B125" t="s">
        <v>3</v>
      </c>
      <c r="C125" t="s">
        <v>29</v>
      </c>
      <c r="D125" t="s">
        <v>48</v>
      </c>
      <c r="E125">
        <v>0.75490000000000002</v>
      </c>
    </row>
    <row r="126" spans="1:5" x14ac:dyDescent="0.25">
      <c r="A126" t="s">
        <v>11</v>
      </c>
      <c r="B126" t="s">
        <v>8</v>
      </c>
      <c r="C126" t="s">
        <v>28</v>
      </c>
      <c r="D126" t="s">
        <v>48</v>
      </c>
      <c r="E126">
        <v>0.95</v>
      </c>
    </row>
    <row r="127" spans="1:5" x14ac:dyDescent="0.25">
      <c r="A127" t="s">
        <v>11</v>
      </c>
      <c r="B127" t="s">
        <v>8</v>
      </c>
      <c r="C127" t="s">
        <v>29</v>
      </c>
      <c r="D127" t="s">
        <v>48</v>
      </c>
      <c r="E127">
        <v>0.9</v>
      </c>
    </row>
    <row r="128" spans="1:5" x14ac:dyDescent="0.25">
      <c r="A128" t="s">
        <v>11</v>
      </c>
      <c r="B128" t="s">
        <v>4</v>
      </c>
      <c r="C128" t="s">
        <v>28</v>
      </c>
      <c r="D128" t="s">
        <v>48</v>
      </c>
      <c r="E128">
        <v>1.0123</v>
      </c>
    </row>
    <row r="129" spans="1:5" x14ac:dyDescent="0.25">
      <c r="A129" t="s">
        <v>11</v>
      </c>
      <c r="B129" t="s">
        <v>4</v>
      </c>
      <c r="C129" t="s">
        <v>29</v>
      </c>
      <c r="D129" t="s">
        <v>48</v>
      </c>
      <c r="E129">
        <v>1.0387999999999999</v>
      </c>
    </row>
    <row r="130" spans="1:5" x14ac:dyDescent="0.25">
      <c r="A130" t="s">
        <v>11</v>
      </c>
      <c r="B130" t="s">
        <v>7</v>
      </c>
      <c r="C130" t="s">
        <v>28</v>
      </c>
      <c r="D130" t="s">
        <v>48</v>
      </c>
      <c r="E130">
        <v>0.7</v>
      </c>
    </row>
    <row r="131" spans="1:5" x14ac:dyDescent="0.25">
      <c r="A131" t="s">
        <v>11</v>
      </c>
      <c r="B131" t="s">
        <v>7</v>
      </c>
      <c r="C131" t="s">
        <v>29</v>
      </c>
      <c r="D131" t="s">
        <v>48</v>
      </c>
      <c r="E131">
        <v>0.7</v>
      </c>
    </row>
    <row r="132" spans="1:5" x14ac:dyDescent="0.25">
      <c r="A132" t="s">
        <v>11</v>
      </c>
      <c r="B132" t="s">
        <v>6</v>
      </c>
      <c r="C132" t="s">
        <v>28</v>
      </c>
      <c r="D132" t="s">
        <v>48</v>
      </c>
      <c r="E132">
        <v>0.39</v>
      </c>
    </row>
    <row r="133" spans="1:5" x14ac:dyDescent="0.25">
      <c r="A133" t="s">
        <v>11</v>
      </c>
      <c r="B133" t="s">
        <v>6</v>
      </c>
      <c r="C133" t="s">
        <v>29</v>
      </c>
      <c r="D133" t="s">
        <v>48</v>
      </c>
      <c r="E133">
        <v>0.52300000000000002</v>
      </c>
    </row>
  </sheetData>
  <autoFilter ref="A1:E133" xr:uid="{00000000-0001-0000-0800-000000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E70"/>
  <sheetViews>
    <sheetView workbookViewId="0">
      <selection activeCell="H64" sqref="H64"/>
    </sheetView>
  </sheetViews>
  <sheetFormatPr defaultRowHeight="15" x14ac:dyDescent="0.25"/>
  <cols>
    <col min="1" max="1" width="12.28515625" bestFit="1" customWidth="1"/>
  </cols>
  <sheetData>
    <row r="1" spans="1:5" x14ac:dyDescent="0.25">
      <c r="A1" s="1" t="s">
        <v>37</v>
      </c>
      <c r="B1" s="1" t="s">
        <v>26</v>
      </c>
      <c r="C1" s="1" t="s">
        <v>35</v>
      </c>
      <c r="D1" s="1" t="s">
        <v>36</v>
      </c>
      <c r="E1" s="1" t="s">
        <v>1</v>
      </c>
    </row>
    <row r="2" spans="1:5" hidden="1" x14ac:dyDescent="0.25">
      <c r="A2" t="s">
        <v>47</v>
      </c>
      <c r="B2" t="s">
        <v>28</v>
      </c>
      <c r="C2" t="s">
        <v>9</v>
      </c>
      <c r="D2" t="s">
        <v>38</v>
      </c>
      <c r="E2">
        <v>0.9</v>
      </c>
    </row>
    <row r="3" spans="1:5" hidden="1" x14ac:dyDescent="0.25">
      <c r="A3" t="s">
        <v>47</v>
      </c>
      <c r="B3" t="s">
        <v>28</v>
      </c>
      <c r="C3" t="s">
        <v>10</v>
      </c>
      <c r="D3" t="s">
        <v>39</v>
      </c>
      <c r="E3">
        <v>0</v>
      </c>
    </row>
    <row r="4" spans="1:5" hidden="1" x14ac:dyDescent="0.25">
      <c r="A4" t="s">
        <v>47</v>
      </c>
      <c r="B4" t="s">
        <v>29</v>
      </c>
      <c r="C4" t="s">
        <v>9</v>
      </c>
      <c r="D4" t="s">
        <v>39</v>
      </c>
      <c r="E4">
        <v>0.89</v>
      </c>
    </row>
    <row r="5" spans="1:5" hidden="1" x14ac:dyDescent="0.25">
      <c r="A5" t="s">
        <v>47</v>
      </c>
      <c r="B5" t="s">
        <v>31</v>
      </c>
      <c r="C5" t="s">
        <v>9</v>
      </c>
      <c r="D5" t="s">
        <v>39</v>
      </c>
      <c r="E5">
        <v>0.89</v>
      </c>
    </row>
    <row r="6" spans="1:5" hidden="1" x14ac:dyDescent="0.25">
      <c r="A6" t="s">
        <v>47</v>
      </c>
      <c r="B6" t="s">
        <v>31</v>
      </c>
      <c r="C6" t="s">
        <v>10</v>
      </c>
      <c r="D6" t="s">
        <v>39</v>
      </c>
      <c r="E6">
        <v>0.89</v>
      </c>
    </row>
    <row r="7" spans="1:5" hidden="1" x14ac:dyDescent="0.25">
      <c r="A7" t="s">
        <v>47</v>
      </c>
      <c r="B7" t="s">
        <v>28</v>
      </c>
      <c r="C7" t="s">
        <v>11</v>
      </c>
      <c r="D7" t="s">
        <v>40</v>
      </c>
      <c r="E7">
        <v>0.95</v>
      </c>
    </row>
    <row r="8" spans="1:5" hidden="1" x14ac:dyDescent="0.25">
      <c r="A8" t="s">
        <v>47</v>
      </c>
      <c r="B8" t="s">
        <v>28</v>
      </c>
      <c r="C8" t="s">
        <v>9</v>
      </c>
      <c r="D8" t="s">
        <v>40</v>
      </c>
      <c r="E8">
        <v>0.95</v>
      </c>
    </row>
    <row r="9" spans="1:5" hidden="1" x14ac:dyDescent="0.25">
      <c r="A9" t="s">
        <v>47</v>
      </c>
      <c r="B9" t="s">
        <v>29</v>
      </c>
      <c r="C9" t="s">
        <v>11</v>
      </c>
      <c r="D9" t="s">
        <v>40</v>
      </c>
      <c r="E9">
        <v>0.85</v>
      </c>
    </row>
    <row r="10" spans="1:5" hidden="1" x14ac:dyDescent="0.25">
      <c r="A10" t="s">
        <v>47</v>
      </c>
      <c r="B10" t="s">
        <v>31</v>
      </c>
      <c r="C10" t="s">
        <v>11</v>
      </c>
      <c r="D10" t="s">
        <v>40</v>
      </c>
      <c r="E10">
        <v>0.85</v>
      </c>
    </row>
    <row r="11" spans="1:5" hidden="1" x14ac:dyDescent="0.25">
      <c r="A11" t="s">
        <v>47</v>
      </c>
      <c r="B11" t="s">
        <v>28</v>
      </c>
      <c r="C11" t="s">
        <v>12</v>
      </c>
      <c r="D11" t="s">
        <v>46</v>
      </c>
      <c r="E11">
        <v>1</v>
      </c>
    </row>
    <row r="12" spans="1:5" hidden="1" x14ac:dyDescent="0.25">
      <c r="A12" t="s">
        <v>47</v>
      </c>
      <c r="B12" t="s">
        <v>28</v>
      </c>
      <c r="C12" t="s">
        <v>10</v>
      </c>
      <c r="D12" t="s">
        <v>46</v>
      </c>
      <c r="E12">
        <v>1</v>
      </c>
    </row>
    <row r="13" spans="1:5" hidden="1" x14ac:dyDescent="0.25">
      <c r="A13" t="s">
        <v>47</v>
      </c>
      <c r="B13" t="s">
        <v>29</v>
      </c>
      <c r="C13" t="s">
        <v>12</v>
      </c>
      <c r="D13" t="s">
        <v>46</v>
      </c>
      <c r="E13">
        <v>1</v>
      </c>
    </row>
    <row r="14" spans="1:5" hidden="1" x14ac:dyDescent="0.25">
      <c r="A14" t="s">
        <v>47</v>
      </c>
      <c r="B14" t="s">
        <v>31</v>
      </c>
      <c r="C14" t="s">
        <v>12</v>
      </c>
      <c r="D14" t="s">
        <v>46</v>
      </c>
      <c r="E14">
        <v>0.85</v>
      </c>
    </row>
    <row r="15" spans="1:5" hidden="1" x14ac:dyDescent="0.25">
      <c r="A15" t="s">
        <v>47</v>
      </c>
      <c r="B15" t="s">
        <v>31</v>
      </c>
      <c r="C15" t="s">
        <v>10</v>
      </c>
      <c r="D15" t="s">
        <v>46</v>
      </c>
      <c r="E15">
        <v>0.85</v>
      </c>
    </row>
    <row r="16" spans="1:5" hidden="1" x14ac:dyDescent="0.25">
      <c r="A16" t="s">
        <v>25</v>
      </c>
      <c r="B16" t="s">
        <v>28</v>
      </c>
      <c r="C16" t="s">
        <v>9</v>
      </c>
      <c r="D16" t="s">
        <v>41</v>
      </c>
      <c r="E16">
        <v>0.61599999999999999</v>
      </c>
    </row>
    <row r="17" spans="1:5" hidden="1" x14ac:dyDescent="0.25">
      <c r="A17" t="s">
        <v>25</v>
      </c>
      <c r="B17" t="s">
        <v>31</v>
      </c>
      <c r="C17" t="s">
        <v>9</v>
      </c>
      <c r="D17" t="s">
        <v>42</v>
      </c>
      <c r="E17">
        <v>0.24</v>
      </c>
    </row>
    <row r="18" spans="1:5" hidden="1" x14ac:dyDescent="0.25">
      <c r="A18" t="s">
        <v>25</v>
      </c>
      <c r="B18" t="s">
        <v>28</v>
      </c>
      <c r="C18" t="s">
        <v>9</v>
      </c>
      <c r="D18" t="s">
        <v>43</v>
      </c>
      <c r="E18">
        <v>0.55200000000000005</v>
      </c>
    </row>
    <row r="19" spans="1:5" hidden="1" x14ac:dyDescent="0.25">
      <c r="A19" t="s">
        <v>25</v>
      </c>
      <c r="B19" t="s">
        <v>29</v>
      </c>
      <c r="C19" t="s">
        <v>9</v>
      </c>
      <c r="D19" t="s">
        <v>43</v>
      </c>
      <c r="E19">
        <v>0.245</v>
      </c>
    </row>
    <row r="20" spans="1:5" hidden="1" x14ac:dyDescent="0.25">
      <c r="A20" t="s">
        <v>48</v>
      </c>
      <c r="B20" t="s">
        <v>29</v>
      </c>
      <c r="C20" t="s">
        <v>9</v>
      </c>
      <c r="D20" t="s">
        <v>44</v>
      </c>
      <c r="E20">
        <v>0</v>
      </c>
    </row>
    <row r="21" spans="1:5" hidden="1" x14ac:dyDescent="0.25">
      <c r="A21" t="s">
        <v>48</v>
      </c>
      <c r="B21" t="s">
        <v>31</v>
      </c>
      <c r="C21" t="s">
        <v>9</v>
      </c>
      <c r="D21" t="s">
        <v>44</v>
      </c>
      <c r="E21">
        <v>1.03043478</v>
      </c>
    </row>
    <row r="22" spans="1:5" hidden="1" x14ac:dyDescent="0.25">
      <c r="A22" t="s">
        <v>25</v>
      </c>
      <c r="B22" t="s">
        <v>29</v>
      </c>
      <c r="C22" t="s">
        <v>9</v>
      </c>
      <c r="D22" t="s">
        <v>44</v>
      </c>
      <c r="E22">
        <v>0</v>
      </c>
    </row>
    <row r="23" spans="1:5" hidden="1" x14ac:dyDescent="0.25">
      <c r="A23" t="s">
        <v>25</v>
      </c>
      <c r="B23" t="s">
        <v>31</v>
      </c>
      <c r="C23" t="s">
        <v>9</v>
      </c>
      <c r="D23" t="s">
        <v>44</v>
      </c>
      <c r="E23">
        <v>0</v>
      </c>
    </row>
    <row r="24" spans="1:5" hidden="1" x14ac:dyDescent="0.25">
      <c r="A24" t="s">
        <v>48</v>
      </c>
      <c r="B24" t="s">
        <v>28</v>
      </c>
      <c r="C24" t="s">
        <v>9</v>
      </c>
      <c r="D24" t="s">
        <v>45</v>
      </c>
      <c r="E24">
        <v>0.76</v>
      </c>
    </row>
    <row r="25" spans="1:5" hidden="1" x14ac:dyDescent="0.25">
      <c r="A25" t="s">
        <v>48</v>
      </c>
      <c r="B25" t="s">
        <v>29</v>
      </c>
      <c r="C25" t="s">
        <v>9</v>
      </c>
      <c r="D25" t="s">
        <v>45</v>
      </c>
      <c r="E25">
        <v>0.76</v>
      </c>
    </row>
    <row r="26" spans="1:5" hidden="1" x14ac:dyDescent="0.25">
      <c r="A26" t="s">
        <v>48</v>
      </c>
      <c r="B26" t="s">
        <v>31</v>
      </c>
      <c r="C26" t="s">
        <v>9</v>
      </c>
      <c r="D26" t="s">
        <v>45</v>
      </c>
      <c r="E26">
        <v>0.76</v>
      </c>
    </row>
    <row r="27" spans="1:5" hidden="1" x14ac:dyDescent="0.25">
      <c r="A27" t="s">
        <v>47</v>
      </c>
      <c r="B27" t="s">
        <v>29</v>
      </c>
      <c r="C27" t="s">
        <v>10</v>
      </c>
      <c r="D27" t="s">
        <v>46</v>
      </c>
      <c r="E27">
        <v>1</v>
      </c>
    </row>
    <row r="28" spans="1:5" hidden="1" x14ac:dyDescent="0.25">
      <c r="A28" t="s">
        <v>48</v>
      </c>
      <c r="B28" t="s">
        <v>28</v>
      </c>
      <c r="C28" t="s">
        <v>11</v>
      </c>
      <c r="D28" t="s">
        <v>45</v>
      </c>
      <c r="E28">
        <v>0</v>
      </c>
    </row>
    <row r="29" spans="1:5" hidden="1" x14ac:dyDescent="0.25">
      <c r="A29" t="s">
        <v>48</v>
      </c>
      <c r="B29" t="s">
        <v>29</v>
      </c>
      <c r="C29" t="s">
        <v>11</v>
      </c>
      <c r="D29" t="s">
        <v>45</v>
      </c>
      <c r="E29">
        <v>0</v>
      </c>
    </row>
    <row r="30" spans="1:5" hidden="1" x14ac:dyDescent="0.25">
      <c r="A30" t="s">
        <v>48</v>
      </c>
      <c r="B30" t="s">
        <v>31</v>
      </c>
      <c r="C30" t="s">
        <v>11</v>
      </c>
      <c r="D30" t="s">
        <v>45</v>
      </c>
      <c r="E30">
        <v>0</v>
      </c>
    </row>
    <row r="31" spans="1:5" hidden="1" x14ac:dyDescent="0.25">
      <c r="A31" t="s">
        <v>25</v>
      </c>
      <c r="B31" t="s">
        <v>28</v>
      </c>
      <c r="C31" t="s">
        <v>11</v>
      </c>
      <c r="D31" t="s">
        <v>43</v>
      </c>
      <c r="E31">
        <v>0.55200000000000005</v>
      </c>
    </row>
    <row r="32" spans="1:5" hidden="1" x14ac:dyDescent="0.25">
      <c r="A32" t="s">
        <v>25</v>
      </c>
      <c r="B32" t="s">
        <v>29</v>
      </c>
      <c r="C32" t="s">
        <v>11</v>
      </c>
      <c r="D32" t="s">
        <v>43</v>
      </c>
      <c r="E32">
        <v>0.245</v>
      </c>
    </row>
    <row r="33" spans="1:5" hidden="1" x14ac:dyDescent="0.25">
      <c r="A33" t="s">
        <v>25</v>
      </c>
      <c r="B33" t="s">
        <v>31</v>
      </c>
      <c r="C33" t="s">
        <v>11</v>
      </c>
      <c r="D33" t="s">
        <v>43</v>
      </c>
      <c r="E33">
        <v>0.245</v>
      </c>
    </row>
    <row r="34" spans="1:5" hidden="1" x14ac:dyDescent="0.25">
      <c r="A34" t="s">
        <v>25</v>
      </c>
      <c r="B34" t="s">
        <v>31</v>
      </c>
      <c r="C34" t="s">
        <v>9</v>
      </c>
      <c r="D34" t="s">
        <v>43</v>
      </c>
      <c r="E34">
        <v>0</v>
      </c>
    </row>
    <row r="35" spans="1:5" x14ac:dyDescent="0.25">
      <c r="A35" t="s">
        <v>30</v>
      </c>
      <c r="B35" t="s">
        <v>30</v>
      </c>
      <c r="C35" t="s">
        <v>9</v>
      </c>
      <c r="D35" t="s">
        <v>38</v>
      </c>
      <c r="E35">
        <v>1</v>
      </c>
    </row>
    <row r="36" spans="1:5" x14ac:dyDescent="0.25">
      <c r="A36" t="s">
        <v>30</v>
      </c>
      <c r="B36" t="s">
        <v>30</v>
      </c>
      <c r="C36" t="s">
        <v>9</v>
      </c>
      <c r="D36" t="s">
        <v>39</v>
      </c>
      <c r="E36">
        <v>1</v>
      </c>
    </row>
    <row r="37" spans="1:5" x14ac:dyDescent="0.25">
      <c r="A37" t="s">
        <v>30</v>
      </c>
      <c r="B37" t="s">
        <v>30</v>
      </c>
      <c r="C37" t="s">
        <v>9</v>
      </c>
      <c r="D37" t="s">
        <v>40</v>
      </c>
      <c r="E37">
        <v>1</v>
      </c>
    </row>
    <row r="38" spans="1:5" x14ac:dyDescent="0.25">
      <c r="A38" t="s">
        <v>30</v>
      </c>
      <c r="B38" t="s">
        <v>30</v>
      </c>
      <c r="C38" t="s">
        <v>9</v>
      </c>
      <c r="D38" t="s">
        <v>46</v>
      </c>
      <c r="E38">
        <v>1</v>
      </c>
    </row>
    <row r="39" spans="1:5" x14ac:dyDescent="0.25">
      <c r="A39" t="s">
        <v>30</v>
      </c>
      <c r="B39" t="s">
        <v>30</v>
      </c>
      <c r="C39" t="s">
        <v>9</v>
      </c>
      <c r="D39" t="s">
        <v>41</v>
      </c>
      <c r="E39">
        <v>1</v>
      </c>
    </row>
    <row r="40" spans="1:5" x14ac:dyDescent="0.25">
      <c r="A40" t="s">
        <v>30</v>
      </c>
      <c r="B40" t="s">
        <v>30</v>
      </c>
      <c r="C40" t="s">
        <v>9</v>
      </c>
      <c r="D40" t="s">
        <v>42</v>
      </c>
      <c r="E40">
        <v>1</v>
      </c>
    </row>
    <row r="41" spans="1:5" x14ac:dyDescent="0.25">
      <c r="A41" t="s">
        <v>30</v>
      </c>
      <c r="B41" t="s">
        <v>30</v>
      </c>
      <c r="C41" t="s">
        <v>9</v>
      </c>
      <c r="D41" t="s">
        <v>43</v>
      </c>
      <c r="E41">
        <v>1</v>
      </c>
    </row>
    <row r="42" spans="1:5" x14ac:dyDescent="0.25">
      <c r="A42" t="s">
        <v>30</v>
      </c>
      <c r="B42" t="s">
        <v>30</v>
      </c>
      <c r="C42" t="s">
        <v>9</v>
      </c>
      <c r="D42" t="s">
        <v>44</v>
      </c>
      <c r="E42">
        <v>1</v>
      </c>
    </row>
    <row r="43" spans="1:5" x14ac:dyDescent="0.25">
      <c r="A43" t="s">
        <v>30</v>
      </c>
      <c r="B43" t="s">
        <v>30</v>
      </c>
      <c r="C43" t="s">
        <v>9</v>
      </c>
      <c r="D43" t="s">
        <v>45</v>
      </c>
      <c r="E43">
        <v>1</v>
      </c>
    </row>
    <row r="44" spans="1:5" x14ac:dyDescent="0.25">
      <c r="A44" t="s">
        <v>30</v>
      </c>
      <c r="B44" t="s">
        <v>30</v>
      </c>
      <c r="C44" t="s">
        <v>11</v>
      </c>
      <c r="D44" t="s">
        <v>38</v>
      </c>
      <c r="E44">
        <v>1</v>
      </c>
    </row>
    <row r="45" spans="1:5" x14ac:dyDescent="0.25">
      <c r="A45" t="s">
        <v>30</v>
      </c>
      <c r="B45" t="s">
        <v>30</v>
      </c>
      <c r="C45" t="s">
        <v>11</v>
      </c>
      <c r="D45" t="s">
        <v>39</v>
      </c>
      <c r="E45">
        <v>1</v>
      </c>
    </row>
    <row r="46" spans="1:5" x14ac:dyDescent="0.25">
      <c r="A46" t="s">
        <v>30</v>
      </c>
      <c r="B46" t="s">
        <v>30</v>
      </c>
      <c r="C46" t="s">
        <v>11</v>
      </c>
      <c r="D46" t="s">
        <v>40</v>
      </c>
      <c r="E46">
        <v>1</v>
      </c>
    </row>
    <row r="47" spans="1:5" x14ac:dyDescent="0.25">
      <c r="A47" t="s">
        <v>30</v>
      </c>
      <c r="B47" t="s">
        <v>30</v>
      </c>
      <c r="C47" t="s">
        <v>11</v>
      </c>
      <c r="D47" t="s">
        <v>46</v>
      </c>
      <c r="E47">
        <v>1</v>
      </c>
    </row>
    <row r="48" spans="1:5" x14ac:dyDescent="0.25">
      <c r="A48" t="s">
        <v>30</v>
      </c>
      <c r="B48" t="s">
        <v>30</v>
      </c>
      <c r="C48" t="s">
        <v>11</v>
      </c>
      <c r="D48" t="s">
        <v>41</v>
      </c>
      <c r="E48">
        <v>1</v>
      </c>
    </row>
    <row r="49" spans="1:5" x14ac:dyDescent="0.25">
      <c r="A49" t="s">
        <v>30</v>
      </c>
      <c r="B49" t="s">
        <v>30</v>
      </c>
      <c r="C49" t="s">
        <v>11</v>
      </c>
      <c r="D49" t="s">
        <v>42</v>
      </c>
      <c r="E49">
        <v>1</v>
      </c>
    </row>
    <row r="50" spans="1:5" x14ac:dyDescent="0.25">
      <c r="A50" t="s">
        <v>30</v>
      </c>
      <c r="B50" t="s">
        <v>30</v>
      </c>
      <c r="C50" t="s">
        <v>11</v>
      </c>
      <c r="D50" t="s">
        <v>43</v>
      </c>
      <c r="E50">
        <v>1</v>
      </c>
    </row>
    <row r="51" spans="1:5" x14ac:dyDescent="0.25">
      <c r="A51" t="s">
        <v>30</v>
      </c>
      <c r="B51" t="s">
        <v>30</v>
      </c>
      <c r="C51" t="s">
        <v>11</v>
      </c>
      <c r="D51" t="s">
        <v>44</v>
      </c>
      <c r="E51">
        <v>1</v>
      </c>
    </row>
    <row r="52" spans="1:5" x14ac:dyDescent="0.25">
      <c r="A52" t="s">
        <v>30</v>
      </c>
      <c r="B52" t="s">
        <v>30</v>
      </c>
      <c r="C52" t="s">
        <v>11</v>
      </c>
      <c r="D52" t="s">
        <v>45</v>
      </c>
      <c r="E52">
        <v>1</v>
      </c>
    </row>
    <row r="53" spans="1:5" x14ac:dyDescent="0.25">
      <c r="A53" t="s">
        <v>30</v>
      </c>
      <c r="B53" t="s">
        <v>30</v>
      </c>
      <c r="C53" t="s">
        <v>12</v>
      </c>
      <c r="D53" t="s">
        <v>38</v>
      </c>
      <c r="E53">
        <v>1</v>
      </c>
    </row>
    <row r="54" spans="1:5" x14ac:dyDescent="0.25">
      <c r="A54" t="s">
        <v>30</v>
      </c>
      <c r="B54" t="s">
        <v>30</v>
      </c>
      <c r="C54" t="s">
        <v>12</v>
      </c>
      <c r="D54" t="s">
        <v>39</v>
      </c>
      <c r="E54">
        <v>1</v>
      </c>
    </row>
    <row r="55" spans="1:5" x14ac:dyDescent="0.25">
      <c r="A55" t="s">
        <v>30</v>
      </c>
      <c r="B55" t="s">
        <v>30</v>
      </c>
      <c r="C55" t="s">
        <v>12</v>
      </c>
      <c r="D55" t="s">
        <v>40</v>
      </c>
      <c r="E55">
        <v>1</v>
      </c>
    </row>
    <row r="56" spans="1:5" x14ac:dyDescent="0.25">
      <c r="A56" t="s">
        <v>30</v>
      </c>
      <c r="B56" t="s">
        <v>30</v>
      </c>
      <c r="C56" t="s">
        <v>12</v>
      </c>
      <c r="D56" t="s">
        <v>46</v>
      </c>
      <c r="E56">
        <v>1</v>
      </c>
    </row>
    <row r="57" spans="1:5" x14ac:dyDescent="0.25">
      <c r="A57" t="s">
        <v>30</v>
      </c>
      <c r="B57" t="s">
        <v>30</v>
      </c>
      <c r="C57" t="s">
        <v>12</v>
      </c>
      <c r="D57" t="s">
        <v>41</v>
      </c>
      <c r="E57">
        <v>1</v>
      </c>
    </row>
    <row r="58" spans="1:5" x14ac:dyDescent="0.25">
      <c r="A58" t="s">
        <v>30</v>
      </c>
      <c r="B58" t="s">
        <v>30</v>
      </c>
      <c r="C58" t="s">
        <v>12</v>
      </c>
      <c r="D58" t="s">
        <v>42</v>
      </c>
      <c r="E58">
        <v>1</v>
      </c>
    </row>
    <row r="59" spans="1:5" x14ac:dyDescent="0.25">
      <c r="A59" t="s">
        <v>30</v>
      </c>
      <c r="B59" t="s">
        <v>30</v>
      </c>
      <c r="C59" t="s">
        <v>12</v>
      </c>
      <c r="D59" t="s">
        <v>43</v>
      </c>
      <c r="E59">
        <v>1</v>
      </c>
    </row>
    <row r="60" spans="1:5" x14ac:dyDescent="0.25">
      <c r="A60" t="s">
        <v>30</v>
      </c>
      <c r="B60" t="s">
        <v>30</v>
      </c>
      <c r="C60" t="s">
        <v>12</v>
      </c>
      <c r="D60" t="s">
        <v>44</v>
      </c>
      <c r="E60">
        <v>1</v>
      </c>
    </row>
    <row r="61" spans="1:5" x14ac:dyDescent="0.25">
      <c r="A61" t="s">
        <v>30</v>
      </c>
      <c r="B61" t="s">
        <v>30</v>
      </c>
      <c r="C61" t="s">
        <v>12</v>
      </c>
      <c r="D61" t="s">
        <v>45</v>
      </c>
      <c r="E61">
        <v>1</v>
      </c>
    </row>
    <row r="62" spans="1:5" x14ac:dyDescent="0.25">
      <c r="A62" t="s">
        <v>30</v>
      </c>
      <c r="B62" t="s">
        <v>30</v>
      </c>
      <c r="C62" t="s">
        <v>10</v>
      </c>
      <c r="D62" t="s">
        <v>38</v>
      </c>
      <c r="E62">
        <v>1</v>
      </c>
    </row>
    <row r="63" spans="1:5" x14ac:dyDescent="0.25">
      <c r="A63" t="s">
        <v>30</v>
      </c>
      <c r="B63" t="s">
        <v>30</v>
      </c>
      <c r="C63" t="s">
        <v>10</v>
      </c>
      <c r="D63" t="s">
        <v>39</v>
      </c>
      <c r="E63">
        <v>1</v>
      </c>
    </row>
    <row r="64" spans="1:5" x14ac:dyDescent="0.25">
      <c r="A64" t="s">
        <v>30</v>
      </c>
      <c r="B64" t="s">
        <v>30</v>
      </c>
      <c r="C64" t="s">
        <v>10</v>
      </c>
      <c r="D64" t="s">
        <v>40</v>
      </c>
      <c r="E64">
        <v>1</v>
      </c>
    </row>
    <row r="65" spans="1:5" x14ac:dyDescent="0.25">
      <c r="A65" t="s">
        <v>30</v>
      </c>
      <c r="B65" t="s">
        <v>30</v>
      </c>
      <c r="C65" t="s">
        <v>10</v>
      </c>
      <c r="D65" t="s">
        <v>46</v>
      </c>
      <c r="E65">
        <v>1</v>
      </c>
    </row>
    <row r="66" spans="1:5" x14ac:dyDescent="0.25">
      <c r="A66" t="s">
        <v>30</v>
      </c>
      <c r="B66" t="s">
        <v>30</v>
      </c>
      <c r="C66" t="s">
        <v>10</v>
      </c>
      <c r="D66" t="s">
        <v>41</v>
      </c>
      <c r="E66">
        <v>1</v>
      </c>
    </row>
    <row r="67" spans="1:5" x14ac:dyDescent="0.25">
      <c r="A67" t="s">
        <v>30</v>
      </c>
      <c r="B67" t="s">
        <v>30</v>
      </c>
      <c r="C67" t="s">
        <v>10</v>
      </c>
      <c r="D67" t="s">
        <v>42</v>
      </c>
      <c r="E67">
        <v>1</v>
      </c>
    </row>
    <row r="68" spans="1:5" x14ac:dyDescent="0.25">
      <c r="A68" t="s">
        <v>30</v>
      </c>
      <c r="B68" t="s">
        <v>30</v>
      </c>
      <c r="C68" t="s">
        <v>10</v>
      </c>
      <c r="D68" t="s">
        <v>43</v>
      </c>
      <c r="E68">
        <v>1</v>
      </c>
    </row>
    <row r="69" spans="1:5" x14ac:dyDescent="0.25">
      <c r="A69" t="s">
        <v>30</v>
      </c>
      <c r="B69" t="s">
        <v>30</v>
      </c>
      <c r="C69" t="s">
        <v>10</v>
      </c>
      <c r="D69" t="s">
        <v>44</v>
      </c>
      <c r="E69">
        <v>1</v>
      </c>
    </row>
    <row r="70" spans="1:5" x14ac:dyDescent="0.25">
      <c r="A70" t="s">
        <v>30</v>
      </c>
      <c r="B70" t="s">
        <v>30</v>
      </c>
      <c r="C70" t="s">
        <v>10</v>
      </c>
      <c r="D70" t="s">
        <v>45</v>
      </c>
      <c r="E70">
        <v>1</v>
      </c>
    </row>
  </sheetData>
  <autoFilter ref="A1:E70" xr:uid="{00000000-0001-0000-0900-000000000000}">
    <filterColumn colId="0">
      <filters>
        <filter val="Lignin"/>
      </filters>
    </filterColumn>
  </autoFilter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P37" sqref="P37"/>
    </sheetView>
  </sheetViews>
  <sheetFormatPr defaultRowHeight="15" x14ac:dyDescent="0.25"/>
  <sheetData>
    <row r="1" spans="1:2" x14ac:dyDescent="0.25">
      <c r="A1" s="1" t="s">
        <v>35</v>
      </c>
      <c r="B1" s="1" t="s">
        <v>1</v>
      </c>
    </row>
    <row r="2" spans="1:2" x14ac:dyDescent="0.25">
      <c r="A2" t="s">
        <v>9</v>
      </c>
      <c r="B2">
        <v>0.2</v>
      </c>
    </row>
    <row r="3" spans="1:2" x14ac:dyDescent="0.25">
      <c r="A3" t="s">
        <v>10</v>
      </c>
      <c r="B3">
        <v>0.2</v>
      </c>
    </row>
    <row r="4" spans="1:2" x14ac:dyDescent="0.25">
      <c r="A4" t="s">
        <v>11</v>
      </c>
      <c r="B4">
        <v>0.2</v>
      </c>
    </row>
    <row r="5" spans="1:2" x14ac:dyDescent="0.25">
      <c r="A5" t="s">
        <v>12</v>
      </c>
      <c r="B5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>
      <selection activeCell="F20" sqref="F20"/>
    </sheetView>
  </sheetViews>
  <sheetFormatPr defaultRowHeight="15" x14ac:dyDescent="0.25"/>
  <sheetData>
    <row r="1" spans="1:3" x14ac:dyDescent="0.25">
      <c r="A1" s="1" t="s">
        <v>37</v>
      </c>
      <c r="B1" s="1" t="s">
        <v>49</v>
      </c>
      <c r="C1" s="1" t="s">
        <v>1</v>
      </c>
    </row>
    <row r="2" spans="1:3" x14ac:dyDescent="0.25">
      <c r="A2" t="s">
        <v>47</v>
      </c>
      <c r="B2" t="s">
        <v>13</v>
      </c>
      <c r="C2">
        <v>0</v>
      </c>
    </row>
    <row r="3" spans="1:3" x14ac:dyDescent="0.25">
      <c r="A3" t="s">
        <v>47</v>
      </c>
      <c r="B3" t="s">
        <v>14</v>
      </c>
      <c r="C3">
        <v>0</v>
      </c>
    </row>
    <row r="4" spans="1:3" x14ac:dyDescent="0.25">
      <c r="A4" t="s">
        <v>47</v>
      </c>
      <c r="B4" t="s">
        <v>15</v>
      </c>
      <c r="C4">
        <v>0</v>
      </c>
    </row>
    <row r="5" spans="1:3" x14ac:dyDescent="0.25">
      <c r="A5" t="s">
        <v>47</v>
      </c>
      <c r="B5" t="s">
        <v>16</v>
      </c>
      <c r="C5">
        <v>0</v>
      </c>
    </row>
    <row r="6" spans="1:3" x14ac:dyDescent="0.25">
      <c r="A6" t="s">
        <v>47</v>
      </c>
      <c r="B6" t="s">
        <v>17</v>
      </c>
      <c r="C6">
        <v>1</v>
      </c>
    </row>
    <row r="7" spans="1:3" x14ac:dyDescent="0.25">
      <c r="A7" t="s">
        <v>47</v>
      </c>
      <c r="B7" t="s">
        <v>18</v>
      </c>
      <c r="C7">
        <v>1</v>
      </c>
    </row>
    <row r="8" spans="1:3" x14ac:dyDescent="0.25">
      <c r="A8" t="s">
        <v>47</v>
      </c>
      <c r="B8" t="s">
        <v>19</v>
      </c>
      <c r="C8">
        <v>1</v>
      </c>
    </row>
    <row r="9" spans="1:3" x14ac:dyDescent="0.25">
      <c r="A9" t="s">
        <v>48</v>
      </c>
      <c r="B9" t="s">
        <v>13</v>
      </c>
      <c r="C9">
        <v>0</v>
      </c>
    </row>
    <row r="10" spans="1:3" x14ac:dyDescent="0.25">
      <c r="A10" t="s">
        <v>48</v>
      </c>
      <c r="B10" t="s">
        <v>14</v>
      </c>
      <c r="C10">
        <v>1</v>
      </c>
    </row>
    <row r="11" spans="1:3" x14ac:dyDescent="0.25">
      <c r="A11" t="s">
        <v>48</v>
      </c>
      <c r="B11" t="s">
        <v>15</v>
      </c>
      <c r="C11">
        <v>1</v>
      </c>
    </row>
    <row r="12" spans="1:3" x14ac:dyDescent="0.25">
      <c r="A12" t="s">
        <v>48</v>
      </c>
      <c r="B12" t="s">
        <v>16</v>
      </c>
      <c r="C12">
        <v>0</v>
      </c>
    </row>
    <row r="13" spans="1:3" x14ac:dyDescent="0.25">
      <c r="A13" t="s">
        <v>48</v>
      </c>
      <c r="B13" t="s">
        <v>17</v>
      </c>
      <c r="C13">
        <v>0</v>
      </c>
    </row>
    <row r="14" spans="1:3" x14ac:dyDescent="0.25">
      <c r="A14" t="s">
        <v>48</v>
      </c>
      <c r="B14" t="s">
        <v>18</v>
      </c>
      <c r="C14">
        <v>0</v>
      </c>
    </row>
    <row r="15" spans="1:3" x14ac:dyDescent="0.25">
      <c r="A15" t="s">
        <v>48</v>
      </c>
      <c r="B15" t="s">
        <v>19</v>
      </c>
      <c r="C15">
        <v>0</v>
      </c>
    </row>
    <row r="16" spans="1:3" x14ac:dyDescent="0.25">
      <c r="A16" t="s">
        <v>25</v>
      </c>
      <c r="B16" t="s">
        <v>13</v>
      </c>
      <c r="C16">
        <v>1</v>
      </c>
    </row>
    <row r="17" spans="1:3" x14ac:dyDescent="0.25">
      <c r="A17" t="s">
        <v>25</v>
      </c>
      <c r="B17" t="s">
        <v>14</v>
      </c>
      <c r="C17">
        <v>0</v>
      </c>
    </row>
    <row r="18" spans="1:3" x14ac:dyDescent="0.25">
      <c r="A18" t="s">
        <v>25</v>
      </c>
      <c r="B18" t="s">
        <v>15</v>
      </c>
      <c r="C18">
        <v>1</v>
      </c>
    </row>
    <row r="19" spans="1:3" x14ac:dyDescent="0.25">
      <c r="A19" t="s">
        <v>25</v>
      </c>
      <c r="B19" t="s">
        <v>16</v>
      </c>
      <c r="C19">
        <v>1</v>
      </c>
    </row>
    <row r="20" spans="1:3" x14ac:dyDescent="0.25">
      <c r="A20" t="s">
        <v>25</v>
      </c>
      <c r="B20" t="s">
        <v>17</v>
      </c>
      <c r="C20">
        <v>0</v>
      </c>
    </row>
    <row r="21" spans="1:3" x14ac:dyDescent="0.25">
      <c r="A21" t="s">
        <v>25</v>
      </c>
      <c r="B21" t="s">
        <v>18</v>
      </c>
      <c r="C21">
        <v>0</v>
      </c>
    </row>
    <row r="22" spans="1:3" x14ac:dyDescent="0.25">
      <c r="A22" t="s">
        <v>25</v>
      </c>
      <c r="B22" t="s">
        <v>19</v>
      </c>
      <c r="C22">
        <v>0</v>
      </c>
    </row>
    <row r="23" spans="1:3" x14ac:dyDescent="0.25">
      <c r="A23" t="s">
        <v>30</v>
      </c>
      <c r="B23" t="s">
        <v>107</v>
      </c>
      <c r="C23">
        <v>1</v>
      </c>
    </row>
  </sheetData>
  <autoFilter ref="A1:C22" xr:uid="{00000000-0001-0000-0B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s="1" t="s">
        <v>37</v>
      </c>
      <c r="B1" s="1" t="s">
        <v>49</v>
      </c>
      <c r="C1" s="1" t="s">
        <v>1</v>
      </c>
    </row>
    <row r="2" spans="1:3" x14ac:dyDescent="0.25">
      <c r="A2" t="s">
        <v>47</v>
      </c>
      <c r="B2" t="s">
        <v>17</v>
      </c>
      <c r="C2">
        <v>0.95289999999999997</v>
      </c>
    </row>
    <row r="3" spans="1:3" x14ac:dyDescent="0.25">
      <c r="A3" t="s">
        <v>47</v>
      </c>
      <c r="B3" t="s">
        <v>18</v>
      </c>
      <c r="C3">
        <v>0.95230000000000004</v>
      </c>
    </row>
    <row r="4" spans="1:3" x14ac:dyDescent="0.25">
      <c r="A4" t="s">
        <v>47</v>
      </c>
      <c r="B4" t="s">
        <v>19</v>
      </c>
      <c r="C4">
        <v>0.80900000000000005</v>
      </c>
    </row>
    <row r="5" spans="1:3" x14ac:dyDescent="0.25">
      <c r="A5" t="s">
        <v>48</v>
      </c>
      <c r="B5" t="s">
        <v>14</v>
      </c>
      <c r="C5">
        <v>0.89552238809999996</v>
      </c>
    </row>
    <row r="6" spans="1:3" x14ac:dyDescent="0.25">
      <c r="A6" t="s">
        <v>48</v>
      </c>
      <c r="B6" t="s">
        <v>15</v>
      </c>
      <c r="C6">
        <v>0.876</v>
      </c>
    </row>
    <row r="7" spans="1:3" x14ac:dyDescent="0.25">
      <c r="A7" t="s">
        <v>25</v>
      </c>
      <c r="B7" t="s">
        <v>13</v>
      </c>
      <c r="C7">
        <v>0.8</v>
      </c>
    </row>
    <row r="8" spans="1:3" x14ac:dyDescent="0.25">
      <c r="A8" t="s">
        <v>25</v>
      </c>
      <c r="B8" t="s">
        <v>15</v>
      </c>
      <c r="C8">
        <v>0.85099999999999998</v>
      </c>
    </row>
    <row r="9" spans="1:3" x14ac:dyDescent="0.25">
      <c r="A9" t="s">
        <v>25</v>
      </c>
      <c r="B9" t="s">
        <v>16</v>
      </c>
      <c r="C9">
        <v>0.85099999999999998</v>
      </c>
    </row>
    <row r="10" spans="1:3" x14ac:dyDescent="0.25">
      <c r="A10" t="s">
        <v>30</v>
      </c>
      <c r="B10" t="s">
        <v>107</v>
      </c>
      <c r="C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9"/>
  <sheetViews>
    <sheetView workbookViewId="0">
      <selection activeCell="F1" sqref="F1:F2"/>
    </sheetView>
  </sheetViews>
  <sheetFormatPr defaultRowHeight="15" x14ac:dyDescent="0.25"/>
  <cols>
    <col min="9" max="9" width="14.140625" bestFit="1" customWidth="1"/>
    <col min="10" max="10" width="12.7109375" bestFit="1" customWidth="1"/>
    <col min="11" max="11" width="16.28515625" bestFit="1" customWidth="1"/>
    <col min="12" max="12" width="11.28515625" bestFit="1" customWidth="1"/>
  </cols>
  <sheetData>
    <row r="1" spans="1:18" x14ac:dyDescent="0.25">
      <c r="A1" s="1" t="s">
        <v>37</v>
      </c>
      <c r="B1" s="1" t="s">
        <v>95</v>
      </c>
      <c r="C1" s="1" t="s">
        <v>50</v>
      </c>
      <c r="D1" s="1" t="s">
        <v>287</v>
      </c>
      <c r="E1" s="7" t="s">
        <v>183</v>
      </c>
      <c r="F1" s="1" t="s">
        <v>1</v>
      </c>
    </row>
    <row r="2" spans="1:18" x14ac:dyDescent="0.25">
      <c r="A2" t="s">
        <v>47</v>
      </c>
      <c r="B2" t="s">
        <v>256</v>
      </c>
      <c r="C2">
        <v>1</v>
      </c>
      <c r="D2">
        <v>4209481.6323509999</v>
      </c>
      <c r="E2" t="s">
        <v>286</v>
      </c>
      <c r="F2">
        <f>D2/1000000</f>
        <v>4.2094816323510003</v>
      </c>
    </row>
    <row r="3" spans="1:18" x14ac:dyDescent="0.25">
      <c r="A3" t="s">
        <v>47</v>
      </c>
      <c r="B3" t="s">
        <v>257</v>
      </c>
      <c r="C3">
        <v>1</v>
      </c>
      <c r="D3">
        <v>13550905.607590178</v>
      </c>
      <c r="F3">
        <f t="shared" ref="F3:F10" si="0">D3/1000000</f>
        <v>13.550905607590177</v>
      </c>
      <c r="Q3" s="3"/>
      <c r="R3" s="3"/>
    </row>
    <row r="4" spans="1:18" x14ac:dyDescent="0.25">
      <c r="A4" t="s">
        <v>47</v>
      </c>
      <c r="B4" t="s">
        <v>258</v>
      </c>
      <c r="C4">
        <v>1</v>
      </c>
      <c r="D4">
        <v>16631197.81037204</v>
      </c>
      <c r="F4">
        <f t="shared" si="0"/>
        <v>16.63119781037204</v>
      </c>
      <c r="Q4" s="3"/>
      <c r="R4" s="3"/>
    </row>
    <row r="5" spans="1:18" x14ac:dyDescent="0.25">
      <c r="A5" t="s">
        <v>48</v>
      </c>
      <c r="B5" t="s">
        <v>254</v>
      </c>
      <c r="C5">
        <v>1</v>
      </c>
      <c r="D5">
        <v>206999.706368557</v>
      </c>
      <c r="F5">
        <f t="shared" si="0"/>
        <v>0.206999706368557</v>
      </c>
      <c r="Q5" s="3"/>
      <c r="R5" s="3"/>
    </row>
    <row r="6" spans="1:18" x14ac:dyDescent="0.25">
      <c r="A6" t="s">
        <v>48</v>
      </c>
      <c r="B6" t="s">
        <v>257</v>
      </c>
      <c r="C6">
        <v>1</v>
      </c>
      <c r="D6">
        <v>250730.73136451436</v>
      </c>
      <c r="F6">
        <f t="shared" si="0"/>
        <v>0.25073073136451435</v>
      </c>
      <c r="Q6" s="3"/>
      <c r="R6" s="3"/>
    </row>
    <row r="7" spans="1:18" x14ac:dyDescent="0.25">
      <c r="A7" t="s">
        <v>48</v>
      </c>
      <c r="B7" t="s">
        <v>258</v>
      </c>
      <c r="C7">
        <v>1</v>
      </c>
      <c r="D7">
        <v>412233.03124932584</v>
      </c>
      <c r="F7">
        <f t="shared" si="0"/>
        <v>0.41223303124932587</v>
      </c>
      <c r="Q7" s="3"/>
      <c r="R7" s="3"/>
    </row>
    <row r="8" spans="1:18" x14ac:dyDescent="0.25">
      <c r="A8" t="s">
        <v>25</v>
      </c>
      <c r="B8" t="s">
        <v>257</v>
      </c>
      <c r="C8">
        <v>1</v>
      </c>
      <c r="D8">
        <v>231771.77421783636</v>
      </c>
      <c r="F8">
        <f t="shared" si="0"/>
        <v>0.23177177421783635</v>
      </c>
      <c r="Q8" s="3"/>
      <c r="R8" s="3"/>
    </row>
    <row r="9" spans="1:18" x14ac:dyDescent="0.25">
      <c r="A9" t="s">
        <v>25</v>
      </c>
      <c r="B9" t="s">
        <v>259</v>
      </c>
      <c r="C9">
        <v>1</v>
      </c>
      <c r="D9">
        <v>129905.18115741489</v>
      </c>
      <c r="F9">
        <f t="shared" si="0"/>
        <v>0.1299051811574149</v>
      </c>
      <c r="Q9" s="3"/>
      <c r="R9" s="3"/>
    </row>
    <row r="10" spans="1:18" x14ac:dyDescent="0.25">
      <c r="A10" t="s">
        <v>25</v>
      </c>
      <c r="B10" t="s">
        <v>258</v>
      </c>
      <c r="C10">
        <v>1</v>
      </c>
      <c r="D10">
        <v>131543.58511083038</v>
      </c>
      <c r="F10">
        <f t="shared" si="0"/>
        <v>0.13154358511083036</v>
      </c>
      <c r="Q10" s="3"/>
      <c r="R10" s="3"/>
    </row>
    <row r="11" spans="1:18" x14ac:dyDescent="0.25">
      <c r="Q11" s="3"/>
      <c r="R11" s="3"/>
    </row>
    <row r="12" spans="1:18" x14ac:dyDescent="0.25">
      <c r="Q12" s="3"/>
      <c r="R12" s="3"/>
    </row>
    <row r="13" spans="1:18" x14ac:dyDescent="0.25">
      <c r="Q13" s="3"/>
      <c r="R13" s="3"/>
    </row>
    <row r="14" spans="1:18" x14ac:dyDescent="0.25">
      <c r="Q14" s="3"/>
      <c r="R14" s="3"/>
    </row>
    <row r="15" spans="1:18" x14ac:dyDescent="0.25">
      <c r="Q15" s="3"/>
      <c r="R15" s="3"/>
    </row>
    <row r="16" spans="1:18" x14ac:dyDescent="0.25">
      <c r="Q16" s="3"/>
      <c r="R16" s="3"/>
    </row>
    <row r="17" spans="17:18" x14ac:dyDescent="0.25">
      <c r="Q17" s="3"/>
      <c r="R17" s="3"/>
    </row>
    <row r="18" spans="17:18" x14ac:dyDescent="0.25">
      <c r="Q18" s="3"/>
      <c r="R18" s="3"/>
    </row>
    <row r="19" spans="17:18" x14ac:dyDescent="0.25">
      <c r="Q19" s="3"/>
      <c r="R19" s="3"/>
    </row>
    <row r="20" spans="17:18" x14ac:dyDescent="0.25">
      <c r="Q20" s="3"/>
      <c r="R20" s="3"/>
    </row>
    <row r="21" spans="17:18" x14ac:dyDescent="0.25">
      <c r="Q21" s="3"/>
      <c r="R21" s="3"/>
    </row>
    <row r="22" spans="17:18" x14ac:dyDescent="0.25">
      <c r="Q22" s="3"/>
      <c r="R22" s="3"/>
    </row>
    <row r="23" spans="17:18" x14ac:dyDescent="0.25">
      <c r="Q23" s="3"/>
      <c r="R23" s="3"/>
    </row>
    <row r="24" spans="17:18" x14ac:dyDescent="0.25">
      <c r="Q24" s="3"/>
      <c r="R24" s="3"/>
    </row>
    <row r="25" spans="17:18" x14ac:dyDescent="0.25">
      <c r="Q25" s="3"/>
      <c r="R25" s="3"/>
    </row>
    <row r="26" spans="17:18" x14ac:dyDescent="0.25">
      <c r="Q26" s="3"/>
      <c r="R26" s="3"/>
    </row>
    <row r="27" spans="17:18" x14ac:dyDescent="0.25">
      <c r="Q27" s="3"/>
      <c r="R27" s="3"/>
    </row>
    <row r="28" spans="17:18" x14ac:dyDescent="0.25">
      <c r="Q28" s="3"/>
      <c r="R28" s="3"/>
    </row>
    <row r="29" spans="17:18" x14ac:dyDescent="0.25">
      <c r="Q29" s="3"/>
      <c r="R2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"/>
  <sheetViews>
    <sheetView workbookViewId="0">
      <selection activeCell="I23" sqref="I23"/>
    </sheetView>
  </sheetViews>
  <sheetFormatPr defaultRowHeight="15" x14ac:dyDescent="0.25"/>
  <cols>
    <col min="4" max="4" width="12" bestFit="1" customWidth="1"/>
    <col min="8" max="8" width="13.140625" bestFit="1" customWidth="1"/>
    <col min="9" max="9" width="12.7109375" bestFit="1" customWidth="1"/>
  </cols>
  <sheetData>
    <row r="1" spans="1:6" x14ac:dyDescent="0.25">
      <c r="A1" s="1" t="s">
        <v>27</v>
      </c>
      <c r="B1" s="1" t="s">
        <v>93</v>
      </c>
      <c r="C1" s="1" t="s">
        <v>50</v>
      </c>
      <c r="D1" s="1" t="s">
        <v>288</v>
      </c>
      <c r="E1" s="7" t="s">
        <v>183</v>
      </c>
      <c r="F1" s="1" t="s">
        <v>1</v>
      </c>
    </row>
    <row r="2" spans="1:6" x14ac:dyDescent="0.25">
      <c r="A2" t="s">
        <v>276</v>
      </c>
      <c r="B2" t="s">
        <v>256</v>
      </c>
      <c r="C2">
        <v>1</v>
      </c>
      <c r="D2">
        <v>1503453749.2846065</v>
      </c>
      <c r="E2" t="s">
        <v>281</v>
      </c>
      <c r="F2">
        <f>D2/1000000</f>
        <v>1503.4537492846064</v>
      </c>
    </row>
    <row r="3" spans="1:6" x14ac:dyDescent="0.25">
      <c r="A3" t="s">
        <v>276</v>
      </c>
      <c r="B3" t="s">
        <v>254</v>
      </c>
      <c r="C3">
        <v>1</v>
      </c>
      <c r="D3">
        <v>206954502.29780108</v>
      </c>
      <c r="E3" t="s">
        <v>281</v>
      </c>
      <c r="F3">
        <f t="shared" ref="F3:F10" si="0">D3/1000000</f>
        <v>206.95450229780107</v>
      </c>
    </row>
    <row r="4" spans="1:6" x14ac:dyDescent="0.25">
      <c r="A4" t="s">
        <v>276</v>
      </c>
      <c r="B4" t="s">
        <v>255</v>
      </c>
      <c r="C4">
        <v>1</v>
      </c>
      <c r="D4">
        <v>110130264.94383396</v>
      </c>
      <c r="E4" t="s">
        <v>281</v>
      </c>
      <c r="F4">
        <f t="shared" si="0"/>
        <v>110.13026494383396</v>
      </c>
    </row>
    <row r="5" spans="1:6" x14ac:dyDescent="0.25">
      <c r="A5" t="s">
        <v>275</v>
      </c>
      <c r="B5" t="s">
        <v>256</v>
      </c>
      <c r="C5">
        <v>1</v>
      </c>
      <c r="D5">
        <v>1149460268.1208637</v>
      </c>
      <c r="E5" t="s">
        <v>281</v>
      </c>
      <c r="F5">
        <f t="shared" si="0"/>
        <v>1149.4602681208637</v>
      </c>
    </row>
    <row r="6" spans="1:6" x14ac:dyDescent="0.25">
      <c r="A6" t="s">
        <v>275</v>
      </c>
      <c r="B6" t="s">
        <v>254</v>
      </c>
      <c r="C6">
        <v>1</v>
      </c>
      <c r="D6">
        <v>184165046.6137585</v>
      </c>
      <c r="E6" t="s">
        <v>281</v>
      </c>
      <c r="F6">
        <f t="shared" si="0"/>
        <v>184.16504661375851</v>
      </c>
    </row>
    <row r="7" spans="1:6" x14ac:dyDescent="0.25">
      <c r="A7" t="s">
        <v>275</v>
      </c>
      <c r="B7" t="s">
        <v>255</v>
      </c>
      <c r="C7">
        <v>1</v>
      </c>
      <c r="D7">
        <v>94169168.605970368</v>
      </c>
      <c r="E7" t="s">
        <v>281</v>
      </c>
      <c r="F7">
        <f t="shared" si="0"/>
        <v>94.16916860597037</v>
      </c>
    </row>
    <row r="8" spans="1:6" x14ac:dyDescent="0.25">
      <c r="A8" t="s">
        <v>274</v>
      </c>
      <c r="B8" t="s">
        <v>256</v>
      </c>
      <c r="C8">
        <v>1</v>
      </c>
      <c r="D8">
        <v>501526101.06707013</v>
      </c>
      <c r="E8" t="s">
        <v>281</v>
      </c>
      <c r="F8">
        <f t="shared" si="0"/>
        <v>501.5261010670701</v>
      </c>
    </row>
    <row r="9" spans="1:6" x14ac:dyDescent="0.25">
      <c r="A9" t="s">
        <v>274</v>
      </c>
      <c r="B9" t="s">
        <v>254</v>
      </c>
      <c r="C9">
        <v>1</v>
      </c>
      <c r="D9">
        <v>25669414.381348491</v>
      </c>
      <c r="E9" t="s">
        <v>281</v>
      </c>
      <c r="F9">
        <f t="shared" si="0"/>
        <v>25.669414381348492</v>
      </c>
    </row>
    <row r="10" spans="1:6" x14ac:dyDescent="0.25">
      <c r="A10" t="s">
        <v>274</v>
      </c>
      <c r="B10" t="s">
        <v>255</v>
      </c>
      <c r="C10">
        <v>1</v>
      </c>
      <c r="D10">
        <v>114097615.60768197</v>
      </c>
      <c r="E10" t="s">
        <v>281</v>
      </c>
      <c r="F10">
        <f t="shared" si="0"/>
        <v>114.09761560768197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1"/>
  <sheetViews>
    <sheetView workbookViewId="0">
      <selection activeCell="I17" sqref="I17"/>
    </sheetView>
  </sheetViews>
  <sheetFormatPr defaultRowHeight="15" x14ac:dyDescent="0.25"/>
  <cols>
    <col min="6" max="6" width="12" bestFit="1" customWidth="1"/>
    <col min="8" max="8" width="13.140625" bestFit="1" customWidth="1"/>
    <col min="9" max="9" width="16.28515625" bestFit="1" customWidth="1"/>
  </cols>
  <sheetData>
    <row r="1" spans="1:12" x14ac:dyDescent="0.25">
      <c r="A1" s="1" t="s">
        <v>27</v>
      </c>
      <c r="B1" s="1" t="s">
        <v>93</v>
      </c>
      <c r="C1" s="1" t="s">
        <v>50</v>
      </c>
      <c r="D1" s="1" t="s">
        <v>289</v>
      </c>
      <c r="E1" s="7" t="s">
        <v>183</v>
      </c>
      <c r="F1" s="20" t="s">
        <v>1</v>
      </c>
    </row>
    <row r="2" spans="1:12" x14ac:dyDescent="0.25">
      <c r="A2" t="s">
        <v>276</v>
      </c>
      <c r="B2" t="s">
        <v>256</v>
      </c>
      <c r="C2">
        <v>1</v>
      </c>
      <c r="D2">
        <v>184.5560328534238</v>
      </c>
      <c r="E2" t="s">
        <v>280</v>
      </c>
      <c r="F2">
        <f>D2*10^6</f>
        <v>184556032.8534238</v>
      </c>
      <c r="L2" s="19"/>
    </row>
    <row r="3" spans="1:12" x14ac:dyDescent="0.25">
      <c r="A3" t="s">
        <v>276</v>
      </c>
      <c r="B3" t="s">
        <v>254</v>
      </c>
      <c r="C3">
        <v>1</v>
      </c>
      <c r="D3">
        <v>111.55661006340418</v>
      </c>
      <c r="E3" t="s">
        <v>280</v>
      </c>
      <c r="F3">
        <f t="shared" ref="F3:F10" si="0">D3*10^6</f>
        <v>111556610.06340417</v>
      </c>
      <c r="J3" s="18"/>
      <c r="K3" s="17"/>
    </row>
    <row r="4" spans="1:12" x14ac:dyDescent="0.25">
      <c r="A4" t="s">
        <v>276</v>
      </c>
      <c r="B4" t="s">
        <v>255</v>
      </c>
      <c r="C4">
        <v>1</v>
      </c>
      <c r="D4">
        <v>347.85880243337971</v>
      </c>
      <c r="E4" t="s">
        <v>280</v>
      </c>
      <c r="F4">
        <f t="shared" si="0"/>
        <v>347858802.43337971</v>
      </c>
      <c r="J4" s="18"/>
      <c r="K4" s="17"/>
    </row>
    <row r="5" spans="1:12" x14ac:dyDescent="0.25">
      <c r="A5" t="s">
        <v>275</v>
      </c>
      <c r="B5" t="s">
        <v>256</v>
      </c>
      <c r="C5">
        <v>1</v>
      </c>
      <c r="D5">
        <v>44.442568377191577</v>
      </c>
      <c r="E5" t="s">
        <v>280</v>
      </c>
      <c r="F5">
        <f t="shared" si="0"/>
        <v>44442568.377191581</v>
      </c>
      <c r="J5" s="18"/>
      <c r="K5" s="17"/>
    </row>
    <row r="6" spans="1:12" x14ac:dyDescent="0.25">
      <c r="A6" t="s">
        <v>275</v>
      </c>
      <c r="B6" t="s">
        <v>254</v>
      </c>
      <c r="C6">
        <v>1</v>
      </c>
      <c r="D6">
        <v>189.1559591135063</v>
      </c>
      <c r="E6" t="s">
        <v>280</v>
      </c>
      <c r="F6">
        <f t="shared" si="0"/>
        <v>189155959.11350629</v>
      </c>
      <c r="J6" s="18"/>
      <c r="K6" s="17"/>
    </row>
    <row r="7" spans="1:12" x14ac:dyDescent="0.25">
      <c r="A7" t="s">
        <v>275</v>
      </c>
      <c r="B7" t="s">
        <v>255</v>
      </c>
      <c r="C7">
        <v>1</v>
      </c>
      <c r="D7">
        <v>64.435424382905111</v>
      </c>
      <c r="E7" t="s">
        <v>280</v>
      </c>
      <c r="F7">
        <f t="shared" si="0"/>
        <v>64435424.382905111</v>
      </c>
      <c r="J7" s="18"/>
      <c r="K7" s="17"/>
    </row>
    <row r="8" spans="1:12" x14ac:dyDescent="0.25">
      <c r="A8" t="s">
        <v>274</v>
      </c>
      <c r="B8" t="s">
        <v>256</v>
      </c>
      <c r="C8">
        <v>1</v>
      </c>
      <c r="D8">
        <v>251.19127571646032</v>
      </c>
      <c r="E8" t="s">
        <v>280</v>
      </c>
      <c r="F8">
        <f t="shared" si="0"/>
        <v>251191275.71646032</v>
      </c>
      <c r="J8" s="18"/>
      <c r="K8" s="17"/>
    </row>
    <row r="9" spans="1:12" x14ac:dyDescent="0.25">
      <c r="A9" t="s">
        <v>274</v>
      </c>
      <c r="B9" t="s">
        <v>254</v>
      </c>
      <c r="C9">
        <v>1</v>
      </c>
      <c r="D9">
        <v>147.94934156722829</v>
      </c>
      <c r="E9" t="s">
        <v>280</v>
      </c>
      <c r="F9">
        <f t="shared" si="0"/>
        <v>147949341.56722829</v>
      </c>
      <c r="J9" s="18"/>
      <c r="K9" s="17"/>
    </row>
    <row r="10" spans="1:12" x14ac:dyDescent="0.25">
      <c r="A10" t="s">
        <v>274</v>
      </c>
      <c r="B10" t="s">
        <v>255</v>
      </c>
      <c r="C10">
        <v>1</v>
      </c>
      <c r="D10">
        <v>194.97475132350348</v>
      </c>
      <c r="E10" t="s">
        <v>280</v>
      </c>
      <c r="F10">
        <f t="shared" si="0"/>
        <v>194974751.32350349</v>
      </c>
      <c r="J10" s="18"/>
      <c r="K10" s="17"/>
    </row>
    <row r="11" spans="1:12" x14ac:dyDescent="0.25">
      <c r="J11" s="18"/>
      <c r="K11" s="1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"/>
  <sheetViews>
    <sheetView workbookViewId="0">
      <selection activeCell="E2" sqref="E2:E27"/>
    </sheetView>
  </sheetViews>
  <sheetFormatPr defaultRowHeight="15" x14ac:dyDescent="0.25"/>
  <cols>
    <col min="2" max="2" width="39.7109375" bestFit="1" customWidth="1"/>
    <col min="3" max="3" width="12" bestFit="1" customWidth="1"/>
    <col min="4" max="4" width="12" customWidth="1"/>
    <col min="5" max="5" width="13.7109375" bestFit="1" customWidth="1"/>
  </cols>
  <sheetData>
    <row r="1" spans="1:6" x14ac:dyDescent="0.25">
      <c r="A1" t="s">
        <v>104</v>
      </c>
      <c r="B1" s="1" t="s">
        <v>23</v>
      </c>
      <c r="C1" s="1" t="s">
        <v>103</v>
      </c>
      <c r="D1" s="7" t="s">
        <v>262</v>
      </c>
      <c r="E1" s="7" t="s">
        <v>1</v>
      </c>
      <c r="F1" s="16" t="s">
        <v>183</v>
      </c>
    </row>
    <row r="2" spans="1:6" x14ac:dyDescent="0.25">
      <c r="A2" t="s">
        <v>105</v>
      </c>
      <c r="B2" t="s">
        <v>55</v>
      </c>
      <c r="C2">
        <v>0.65</v>
      </c>
      <c r="D2" t="s">
        <v>277</v>
      </c>
      <c r="E2" s="9">
        <f>C2*10^6</f>
        <v>650000</v>
      </c>
      <c r="F2" t="s">
        <v>280</v>
      </c>
    </row>
    <row r="3" spans="1:6" x14ac:dyDescent="0.25">
      <c r="A3" t="s">
        <v>105</v>
      </c>
      <c r="B3" t="s">
        <v>56</v>
      </c>
      <c r="C3">
        <v>0.09</v>
      </c>
      <c r="D3" t="s">
        <v>277</v>
      </c>
      <c r="E3" s="9">
        <f t="shared" ref="E3:E27" si="0">C3*10^6</f>
        <v>90000</v>
      </c>
      <c r="F3" t="s">
        <v>280</v>
      </c>
    </row>
    <row r="4" spans="1:6" x14ac:dyDescent="0.25">
      <c r="A4" t="s">
        <v>106</v>
      </c>
      <c r="B4" t="s">
        <v>57</v>
      </c>
      <c r="C4">
        <v>0</v>
      </c>
      <c r="D4" t="s">
        <v>277</v>
      </c>
      <c r="E4" s="9">
        <f t="shared" si="0"/>
        <v>0</v>
      </c>
      <c r="F4" t="s">
        <v>280</v>
      </c>
    </row>
    <row r="5" spans="1:6" x14ac:dyDescent="0.25">
      <c r="A5" t="s">
        <v>105</v>
      </c>
      <c r="B5" t="s">
        <v>58</v>
      </c>
      <c r="C5">
        <v>1.7</v>
      </c>
      <c r="D5" t="s">
        <v>277</v>
      </c>
      <c r="E5" s="9">
        <f t="shared" si="0"/>
        <v>1700000</v>
      </c>
      <c r="F5" t="s">
        <v>280</v>
      </c>
    </row>
    <row r="6" spans="1:6" x14ac:dyDescent="0.25">
      <c r="A6" t="s">
        <v>106</v>
      </c>
      <c r="B6" t="s">
        <v>59</v>
      </c>
      <c r="C6">
        <v>8.3692000000000003E-2</v>
      </c>
      <c r="D6" t="s">
        <v>277</v>
      </c>
      <c r="E6" s="9">
        <f t="shared" si="0"/>
        <v>83692</v>
      </c>
      <c r="F6" t="s">
        <v>280</v>
      </c>
    </row>
    <row r="7" spans="1:6" x14ac:dyDescent="0.25">
      <c r="A7" t="s">
        <v>105</v>
      </c>
      <c r="B7" t="s">
        <v>60</v>
      </c>
      <c r="C7">
        <v>1.0369999999999999</v>
      </c>
      <c r="D7" t="s">
        <v>277</v>
      </c>
      <c r="E7" s="9">
        <f t="shared" si="0"/>
        <v>1036999.9999999999</v>
      </c>
      <c r="F7" t="s">
        <v>280</v>
      </c>
    </row>
    <row r="8" spans="1:6" x14ac:dyDescent="0.25">
      <c r="A8" t="s">
        <v>105</v>
      </c>
      <c r="B8" t="s">
        <v>61</v>
      </c>
      <c r="C8">
        <v>2.0723103999999999E-2</v>
      </c>
      <c r="D8" t="s">
        <v>277</v>
      </c>
      <c r="E8" s="9">
        <f t="shared" si="0"/>
        <v>20723.103999999999</v>
      </c>
      <c r="F8" t="s">
        <v>280</v>
      </c>
    </row>
    <row r="9" spans="1:6" x14ac:dyDescent="0.25">
      <c r="A9" t="s">
        <v>105</v>
      </c>
      <c r="B9" t="s">
        <v>62</v>
      </c>
      <c r="C9">
        <v>9.4799999999999995E-2</v>
      </c>
      <c r="D9" t="s">
        <v>277</v>
      </c>
      <c r="E9" s="9">
        <f t="shared" si="0"/>
        <v>94800</v>
      </c>
      <c r="F9" t="s">
        <v>280</v>
      </c>
    </row>
    <row r="10" spans="1:6" x14ac:dyDescent="0.25">
      <c r="A10" t="s">
        <v>105</v>
      </c>
      <c r="B10" t="s">
        <v>63</v>
      </c>
      <c r="C10">
        <v>0.185</v>
      </c>
      <c r="D10" t="s">
        <v>277</v>
      </c>
      <c r="E10" s="9">
        <f t="shared" si="0"/>
        <v>185000</v>
      </c>
      <c r="F10" t="s">
        <v>280</v>
      </c>
    </row>
    <row r="11" spans="1:6" x14ac:dyDescent="0.25">
      <c r="A11" t="s">
        <v>106</v>
      </c>
      <c r="B11" t="s">
        <v>64</v>
      </c>
      <c r="C11">
        <v>2.0472850000000001E-2</v>
      </c>
      <c r="D11" t="s">
        <v>277</v>
      </c>
      <c r="E11" s="9">
        <f t="shared" si="0"/>
        <v>20472.850000000002</v>
      </c>
      <c r="F11" t="s">
        <v>280</v>
      </c>
    </row>
    <row r="12" spans="1:6" x14ac:dyDescent="0.25">
      <c r="A12" t="s">
        <v>105</v>
      </c>
      <c r="B12" t="s">
        <v>65</v>
      </c>
      <c r="C12">
        <f>170*1.22</f>
        <v>207.4</v>
      </c>
      <c r="D12" t="s">
        <v>277</v>
      </c>
      <c r="E12" s="9">
        <f t="shared" si="0"/>
        <v>207400000</v>
      </c>
      <c r="F12" t="s">
        <v>280</v>
      </c>
    </row>
    <row r="13" spans="1:6" x14ac:dyDescent="0.25">
      <c r="A13" t="s">
        <v>105</v>
      </c>
      <c r="B13" t="s">
        <v>66</v>
      </c>
      <c r="C13">
        <v>0.3</v>
      </c>
      <c r="D13" t="s">
        <v>277</v>
      </c>
      <c r="E13" s="9">
        <f t="shared" si="0"/>
        <v>300000</v>
      </c>
      <c r="F13" t="s">
        <v>280</v>
      </c>
    </row>
    <row r="14" spans="1:6" x14ac:dyDescent="0.25">
      <c r="A14" t="s">
        <v>105</v>
      </c>
      <c r="B14" t="s">
        <v>67</v>
      </c>
      <c r="C14">
        <v>0.09</v>
      </c>
      <c r="D14" t="s">
        <v>277</v>
      </c>
      <c r="E14" s="9">
        <f t="shared" si="0"/>
        <v>90000</v>
      </c>
      <c r="F14" t="s">
        <v>280</v>
      </c>
    </row>
    <row r="15" spans="1:6" x14ac:dyDescent="0.25">
      <c r="A15" t="s">
        <v>106</v>
      </c>
      <c r="B15" t="s">
        <v>68</v>
      </c>
      <c r="C15">
        <v>2.52E-2</v>
      </c>
      <c r="D15" t="s">
        <v>277</v>
      </c>
      <c r="E15" s="9">
        <f t="shared" si="0"/>
        <v>25200</v>
      </c>
      <c r="F15" t="s">
        <v>280</v>
      </c>
    </row>
    <row r="16" spans="1:6" x14ac:dyDescent="0.25">
      <c r="A16" t="s">
        <v>105</v>
      </c>
      <c r="B16" t="s">
        <v>69</v>
      </c>
      <c r="C16">
        <v>0.5</v>
      </c>
      <c r="D16" t="s">
        <v>277</v>
      </c>
      <c r="E16" s="9">
        <f t="shared" si="0"/>
        <v>500000</v>
      </c>
      <c r="F16" t="s">
        <v>280</v>
      </c>
    </row>
    <row r="17" spans="1:6" x14ac:dyDescent="0.25">
      <c r="A17" t="s">
        <v>105</v>
      </c>
      <c r="B17" t="s">
        <v>70</v>
      </c>
      <c r="C17">
        <v>1</v>
      </c>
      <c r="D17" t="s">
        <v>277</v>
      </c>
      <c r="E17" s="9">
        <f t="shared" si="0"/>
        <v>1000000</v>
      </c>
      <c r="F17" t="s">
        <v>280</v>
      </c>
    </row>
    <row r="18" spans="1:6" x14ac:dyDescent="0.25">
      <c r="A18" t="s">
        <v>106</v>
      </c>
      <c r="B18" t="s">
        <v>71</v>
      </c>
      <c r="C18">
        <v>3.2699691000000003E-2</v>
      </c>
      <c r="D18" t="s">
        <v>277</v>
      </c>
      <c r="E18" s="9">
        <f t="shared" si="0"/>
        <v>32699.691000000003</v>
      </c>
      <c r="F18" t="s">
        <v>280</v>
      </c>
    </row>
    <row r="19" spans="1:6" x14ac:dyDescent="0.25">
      <c r="A19" t="s">
        <v>106</v>
      </c>
      <c r="B19" t="s">
        <v>72</v>
      </c>
      <c r="C19">
        <v>3.4647999999999998E-2</v>
      </c>
      <c r="D19" t="s">
        <v>277</v>
      </c>
      <c r="E19" s="9">
        <f t="shared" si="0"/>
        <v>34648</v>
      </c>
      <c r="F19" t="s">
        <v>280</v>
      </c>
    </row>
    <row r="20" spans="1:6" x14ac:dyDescent="0.25">
      <c r="A20" t="s">
        <v>105</v>
      </c>
      <c r="B20" t="s">
        <v>73</v>
      </c>
      <c r="C20">
        <v>1.55E-2</v>
      </c>
      <c r="D20" t="s">
        <v>277</v>
      </c>
      <c r="E20" s="9">
        <f t="shared" si="0"/>
        <v>15500</v>
      </c>
      <c r="F20" t="s">
        <v>280</v>
      </c>
    </row>
    <row r="21" spans="1:6" x14ac:dyDescent="0.25">
      <c r="A21" t="s">
        <v>105</v>
      </c>
      <c r="B21" t="s">
        <v>74</v>
      </c>
      <c r="C21">
        <v>0.66100000000000003</v>
      </c>
      <c r="D21" t="s">
        <v>277</v>
      </c>
      <c r="E21" s="9">
        <f t="shared" si="0"/>
        <v>661000</v>
      </c>
      <c r="F21" t="s">
        <v>280</v>
      </c>
    </row>
    <row r="22" spans="1:6" x14ac:dyDescent="0.25">
      <c r="A22" t="s">
        <v>105</v>
      </c>
      <c r="B22" t="s">
        <v>75</v>
      </c>
      <c r="C22">
        <v>0.02</v>
      </c>
      <c r="D22" t="s">
        <v>277</v>
      </c>
      <c r="E22" s="9">
        <f t="shared" si="0"/>
        <v>20000</v>
      </c>
      <c r="F22" t="s">
        <v>280</v>
      </c>
    </row>
    <row r="23" spans="1:6" x14ac:dyDescent="0.25">
      <c r="A23" t="s">
        <v>105</v>
      </c>
      <c r="B23" t="s">
        <v>76</v>
      </c>
      <c r="C23">
        <f>0.328/1000</f>
        <v>3.28E-4</v>
      </c>
      <c r="D23" t="s">
        <v>277</v>
      </c>
      <c r="E23" s="9">
        <f t="shared" si="0"/>
        <v>328</v>
      </c>
      <c r="F23" t="s">
        <v>280</v>
      </c>
    </row>
    <row r="24" spans="1:6" x14ac:dyDescent="0.25">
      <c r="A24" t="s">
        <v>105</v>
      </c>
      <c r="B24" t="s">
        <v>77</v>
      </c>
      <c r="C24">
        <v>0.1075</v>
      </c>
      <c r="D24" t="s">
        <v>277</v>
      </c>
      <c r="E24" s="9">
        <f t="shared" si="0"/>
        <v>107500</v>
      </c>
      <c r="F24" t="s">
        <v>280</v>
      </c>
    </row>
    <row r="25" spans="1:6" x14ac:dyDescent="0.25">
      <c r="A25" t="s">
        <v>105</v>
      </c>
      <c r="B25" t="s">
        <v>78</v>
      </c>
      <c r="C25">
        <v>0.75</v>
      </c>
      <c r="D25" t="s">
        <v>277</v>
      </c>
      <c r="E25" s="9">
        <f t="shared" si="0"/>
        <v>750000</v>
      </c>
      <c r="F25" t="s">
        <v>280</v>
      </c>
    </row>
    <row r="26" spans="1:6" x14ac:dyDescent="0.25">
      <c r="A26" t="s">
        <v>106</v>
      </c>
      <c r="B26" t="s">
        <v>79</v>
      </c>
      <c r="C26">
        <v>1.3648567E-2</v>
      </c>
      <c r="D26" t="s">
        <v>277</v>
      </c>
      <c r="E26" s="9">
        <f t="shared" si="0"/>
        <v>13648.567000000001</v>
      </c>
      <c r="F26" t="s">
        <v>280</v>
      </c>
    </row>
    <row r="27" spans="1:6" x14ac:dyDescent="0.25">
      <c r="A27" t="s">
        <v>105</v>
      </c>
      <c r="B27" t="s">
        <v>80</v>
      </c>
      <c r="C27">
        <v>6.27</v>
      </c>
      <c r="D27" t="s">
        <v>277</v>
      </c>
      <c r="E27" s="9">
        <f t="shared" si="0"/>
        <v>6270000</v>
      </c>
      <c r="F27" t="s">
        <v>280</v>
      </c>
    </row>
  </sheetData>
  <autoFilter ref="A1:E27" xr:uid="{00000000-0001-0000-1300-000000000000}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1"/>
  <sheetViews>
    <sheetView workbookViewId="0">
      <selection activeCell="F34" sqref="F34"/>
    </sheetView>
  </sheetViews>
  <sheetFormatPr defaultRowHeight="15" x14ac:dyDescent="0.25"/>
  <cols>
    <col min="6" max="6" width="11" bestFit="1" customWidth="1"/>
    <col min="8" max="8" width="14.140625" bestFit="1" customWidth="1"/>
    <col min="9" max="9" width="16.28515625" bestFit="1" customWidth="1"/>
  </cols>
  <sheetData>
    <row r="1" spans="1:13" x14ac:dyDescent="0.25">
      <c r="A1" s="1" t="s">
        <v>37</v>
      </c>
      <c r="B1" s="1" t="s">
        <v>95</v>
      </c>
      <c r="C1" s="1" t="s">
        <v>50</v>
      </c>
      <c r="D1" s="1" t="s">
        <v>289</v>
      </c>
      <c r="E1" s="7" t="s">
        <v>183</v>
      </c>
      <c r="F1" s="1" t="s">
        <v>1</v>
      </c>
    </row>
    <row r="2" spans="1:13" x14ac:dyDescent="0.25">
      <c r="A2" t="s">
        <v>47</v>
      </c>
      <c r="B2" t="s">
        <v>256</v>
      </c>
      <c r="C2">
        <v>1</v>
      </c>
      <c r="D2">
        <v>1124.1077443637837</v>
      </c>
      <c r="E2" t="s">
        <v>280</v>
      </c>
      <c r="F2">
        <f>D2*10^6</f>
        <v>1124107744.3637836</v>
      </c>
      <c r="M2" s="19"/>
    </row>
    <row r="3" spans="1:13" x14ac:dyDescent="0.25">
      <c r="A3" t="s">
        <v>47</v>
      </c>
      <c r="B3" t="s">
        <v>257</v>
      </c>
      <c r="C3">
        <v>1</v>
      </c>
      <c r="D3">
        <v>899.016538020344</v>
      </c>
      <c r="E3" t="s">
        <v>280</v>
      </c>
      <c r="F3">
        <f t="shared" ref="F3:F10" si="0">D3*10^6</f>
        <v>899016538.02034402</v>
      </c>
      <c r="K3" s="18"/>
      <c r="L3" s="17"/>
    </row>
    <row r="4" spans="1:13" x14ac:dyDescent="0.25">
      <c r="A4" t="s">
        <v>47</v>
      </c>
      <c r="B4" t="s">
        <v>258</v>
      </c>
      <c r="C4">
        <v>1</v>
      </c>
      <c r="D4">
        <v>894.80248020511169</v>
      </c>
      <c r="E4" t="s">
        <v>280</v>
      </c>
      <c r="F4">
        <f t="shared" si="0"/>
        <v>894802480.20511174</v>
      </c>
      <c r="K4" s="18"/>
      <c r="L4" s="17"/>
    </row>
    <row r="5" spans="1:13" x14ac:dyDescent="0.25">
      <c r="A5" t="s">
        <v>48</v>
      </c>
      <c r="B5" t="s">
        <v>254</v>
      </c>
      <c r="C5">
        <v>1</v>
      </c>
      <c r="D5">
        <v>1324.1081653650422</v>
      </c>
      <c r="E5" t="s">
        <v>280</v>
      </c>
      <c r="F5">
        <f t="shared" si="0"/>
        <v>1324108165.3650422</v>
      </c>
      <c r="K5" s="18"/>
      <c r="L5" s="17"/>
    </row>
    <row r="6" spans="1:13" x14ac:dyDescent="0.25">
      <c r="A6" t="s">
        <v>48</v>
      </c>
      <c r="B6" t="s">
        <v>257</v>
      </c>
      <c r="C6">
        <v>1</v>
      </c>
      <c r="D6">
        <v>1506.1200214553787</v>
      </c>
      <c r="E6" t="s">
        <v>280</v>
      </c>
      <c r="F6">
        <f t="shared" si="0"/>
        <v>1506120021.4553788</v>
      </c>
      <c r="K6" s="18"/>
      <c r="L6" s="17"/>
    </row>
    <row r="7" spans="1:13" x14ac:dyDescent="0.25">
      <c r="A7" t="s">
        <v>48</v>
      </c>
      <c r="B7" t="s">
        <v>258</v>
      </c>
      <c r="C7">
        <v>1</v>
      </c>
      <c r="D7">
        <v>1570.8054680455577</v>
      </c>
      <c r="E7" t="s">
        <v>280</v>
      </c>
      <c r="F7">
        <f t="shared" si="0"/>
        <v>1570805468.0455577</v>
      </c>
      <c r="K7" s="18"/>
      <c r="L7" s="17"/>
    </row>
    <row r="8" spans="1:13" x14ac:dyDescent="0.25">
      <c r="A8" t="s">
        <v>25</v>
      </c>
      <c r="B8" t="s">
        <v>257</v>
      </c>
      <c r="C8">
        <v>1</v>
      </c>
      <c r="D8">
        <v>4779.7258289769034</v>
      </c>
      <c r="E8" t="s">
        <v>280</v>
      </c>
      <c r="F8">
        <f t="shared" si="0"/>
        <v>4779725828.976903</v>
      </c>
      <c r="K8" s="18"/>
      <c r="L8" s="17"/>
    </row>
    <row r="9" spans="1:13" x14ac:dyDescent="0.25">
      <c r="A9" t="s">
        <v>25</v>
      </c>
      <c r="B9" t="s">
        <v>259</v>
      </c>
      <c r="C9">
        <v>1</v>
      </c>
      <c r="D9">
        <v>2378.5530113167274</v>
      </c>
      <c r="E9" t="s">
        <v>280</v>
      </c>
      <c r="F9">
        <f t="shared" si="0"/>
        <v>2378553011.3167276</v>
      </c>
      <c r="K9" s="18"/>
      <c r="L9" s="17"/>
    </row>
    <row r="10" spans="1:13" x14ac:dyDescent="0.25">
      <c r="A10" t="s">
        <v>25</v>
      </c>
      <c r="B10" t="s">
        <v>258</v>
      </c>
      <c r="C10">
        <v>1</v>
      </c>
      <c r="D10">
        <v>2440.4227343022803</v>
      </c>
      <c r="E10" t="s">
        <v>280</v>
      </c>
      <c r="F10">
        <f t="shared" si="0"/>
        <v>2440422734.3022804</v>
      </c>
      <c r="K10" s="18"/>
      <c r="L10" s="17"/>
    </row>
    <row r="11" spans="1:13" x14ac:dyDescent="0.25">
      <c r="K11" s="18"/>
      <c r="L11" s="17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3E7E-2D4C-49FE-85A2-ADABCD98DEC1}">
  <dimension ref="A1:B11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s="1" t="s">
        <v>50</v>
      </c>
      <c r="B1" s="1" t="s">
        <v>1</v>
      </c>
    </row>
    <row r="2" spans="1:2" x14ac:dyDescent="0.25">
      <c r="A2">
        <v>1</v>
      </c>
      <c r="B2">
        <v>736.95920000000001</v>
      </c>
    </row>
    <row r="3" spans="1:2" x14ac:dyDescent="0.25">
      <c r="A3">
        <v>2</v>
      </c>
      <c r="B3">
        <v>763.65</v>
      </c>
    </row>
    <row r="4" spans="1:2" x14ac:dyDescent="0.25">
      <c r="A4">
        <v>3</v>
      </c>
      <c r="B4">
        <v>792.35080000000005</v>
      </c>
    </row>
    <row r="5" spans="1:2" x14ac:dyDescent="0.25">
      <c r="A5">
        <v>4</v>
      </c>
      <c r="B5">
        <v>823.17439999999999</v>
      </c>
    </row>
    <row r="6" spans="1:2" x14ac:dyDescent="0.25">
      <c r="A6">
        <v>5</v>
      </c>
      <c r="B6">
        <v>856.23359999999991</v>
      </c>
    </row>
    <row r="7" spans="1:2" x14ac:dyDescent="0.25">
      <c r="A7">
        <v>6</v>
      </c>
      <c r="B7">
        <v>891.64120000000003</v>
      </c>
    </row>
    <row r="8" spans="1:2" x14ac:dyDescent="0.25">
      <c r="A8">
        <v>7</v>
      </c>
      <c r="B8">
        <v>929.5100000000001</v>
      </c>
    </row>
    <row r="9" spans="1:2" x14ac:dyDescent="0.25">
      <c r="A9">
        <v>8</v>
      </c>
      <c r="B9">
        <v>969.95280000000002</v>
      </c>
    </row>
    <row r="10" spans="1:2" x14ac:dyDescent="0.25">
      <c r="A10">
        <v>9</v>
      </c>
      <c r="B10">
        <v>1013.0824</v>
      </c>
    </row>
    <row r="11" spans="1:2" x14ac:dyDescent="0.25">
      <c r="A11">
        <v>10</v>
      </c>
      <c r="B11">
        <v>1059.0116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94BB-DC52-4841-BDD8-534AFC971E99}">
  <dimension ref="A1:E20"/>
  <sheetViews>
    <sheetView workbookViewId="0">
      <selection activeCell="F19" sqref="F19"/>
    </sheetView>
  </sheetViews>
  <sheetFormatPr defaultRowHeight="15" x14ac:dyDescent="0.25"/>
  <cols>
    <col min="1" max="1" width="22.7109375" bestFit="1" customWidth="1"/>
    <col min="10" max="10" width="11" bestFit="1" customWidth="1"/>
  </cols>
  <sheetData>
    <row r="1" spans="1:5" x14ac:dyDescent="0.25">
      <c r="A1" s="1" t="s">
        <v>99</v>
      </c>
      <c r="B1" s="1" t="s">
        <v>1</v>
      </c>
      <c r="C1" s="1" t="s">
        <v>183</v>
      </c>
      <c r="D1" s="7" t="s">
        <v>269</v>
      </c>
    </row>
    <row r="2" spans="1:5" x14ac:dyDescent="0.25">
      <c r="A2" t="s">
        <v>242</v>
      </c>
      <c r="B2">
        <v>2024</v>
      </c>
    </row>
    <row r="3" spans="1:5" x14ac:dyDescent="0.25">
      <c r="A3" t="s">
        <v>100</v>
      </c>
      <c r="B3">
        <v>0.1</v>
      </c>
    </row>
    <row r="4" spans="1:5" x14ac:dyDescent="0.25">
      <c r="A4" t="s">
        <v>101</v>
      </c>
      <c r="B4">
        <v>20</v>
      </c>
    </row>
    <row r="5" spans="1:5" x14ac:dyDescent="0.25">
      <c r="A5" t="s">
        <v>179</v>
      </c>
      <c r="B5">
        <v>0.4</v>
      </c>
    </row>
    <row r="6" spans="1:5" x14ac:dyDescent="0.25">
      <c r="A6" t="s">
        <v>180</v>
      </c>
      <c r="B6">
        <f>B3/B4</f>
        <v>5.0000000000000001E-3</v>
      </c>
    </row>
    <row r="7" spans="1:5" x14ac:dyDescent="0.25">
      <c r="A7" t="s">
        <v>185</v>
      </c>
      <c r="B7">
        <v>0</v>
      </c>
    </row>
    <row r="8" spans="1:5" x14ac:dyDescent="0.25">
      <c r="A8" t="s">
        <v>186</v>
      </c>
      <c r="B8">
        <v>0</v>
      </c>
    </row>
    <row r="9" spans="1:5" x14ac:dyDescent="0.25">
      <c r="A9" t="s">
        <v>181</v>
      </c>
      <c r="B9">
        <f>0.013*10^6</f>
        <v>13000</v>
      </c>
      <c r="C9" t="s">
        <v>184</v>
      </c>
      <c r="E9" s="13"/>
    </row>
    <row r="10" spans="1:5" x14ac:dyDescent="0.25">
      <c r="A10" t="s">
        <v>182</v>
      </c>
      <c r="B10">
        <v>0</v>
      </c>
    </row>
    <row r="11" spans="1:5" x14ac:dyDescent="0.25">
      <c r="A11" t="s">
        <v>267</v>
      </c>
      <c r="B11">
        <f>37/0.29/60/1000</f>
        <v>2.1264367816091955E-3</v>
      </c>
    </row>
    <row r="12" spans="1:5" x14ac:dyDescent="0.25">
      <c r="A12" t="s">
        <v>268</v>
      </c>
      <c r="B12">
        <v>0</v>
      </c>
      <c r="C12" t="s">
        <v>247</v>
      </c>
      <c r="D12">
        <v>130</v>
      </c>
    </row>
    <row r="13" spans="1:5" x14ac:dyDescent="0.25">
      <c r="A13" t="s">
        <v>265</v>
      </c>
      <c r="B13">
        <v>40</v>
      </c>
      <c r="C13" t="s">
        <v>282</v>
      </c>
    </row>
    <row r="14" spans="1:5" x14ac:dyDescent="0.25">
      <c r="A14" t="s">
        <v>266</v>
      </c>
      <c r="B14">
        <v>60</v>
      </c>
      <c r="C14" t="s">
        <v>282</v>
      </c>
    </row>
    <row r="15" spans="1:5" x14ac:dyDescent="0.25">
      <c r="A15" t="s">
        <v>248</v>
      </c>
      <c r="B15">
        <v>0.92</v>
      </c>
    </row>
    <row r="16" spans="1:5" x14ac:dyDescent="0.25">
      <c r="A16" t="s">
        <v>252</v>
      </c>
      <c r="B16">
        <v>1095</v>
      </c>
    </row>
    <row r="17" spans="1:2" x14ac:dyDescent="0.25">
      <c r="A17" t="s">
        <v>253</v>
      </c>
      <c r="B17">
        <v>245</v>
      </c>
    </row>
    <row r="18" spans="1:2" x14ac:dyDescent="0.25">
      <c r="A18" t="s">
        <v>250</v>
      </c>
      <c r="B18">
        <v>4</v>
      </c>
    </row>
    <row r="19" spans="1:2" x14ac:dyDescent="0.25">
      <c r="A19" t="s">
        <v>251</v>
      </c>
      <c r="B19">
        <v>4</v>
      </c>
    </row>
    <row r="20" spans="1:2" x14ac:dyDescent="0.25">
      <c r="A20" t="s">
        <v>249</v>
      </c>
      <c r="B20">
        <f>B16/B17*(6.29+31.7*B18^2+0.23*B19)^0.5</f>
        <v>101.36843371797579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AD5-9909-442B-B80E-7EF0EEC6F662}">
  <dimension ref="A1:AH76"/>
  <sheetViews>
    <sheetView workbookViewId="0">
      <selection activeCell="H86" sqref="H86"/>
    </sheetView>
  </sheetViews>
  <sheetFormatPr defaultRowHeight="15" x14ac:dyDescent="0.25"/>
  <cols>
    <col min="1" max="1" width="33" bestFit="1" customWidth="1"/>
    <col min="2" max="2" width="12" bestFit="1" customWidth="1"/>
    <col min="8" max="8" width="9.5703125" bestFit="1" customWidth="1"/>
  </cols>
  <sheetData>
    <row r="1" spans="1:17" x14ac:dyDescent="0.25">
      <c r="A1" t="s">
        <v>87</v>
      </c>
      <c r="B1" t="s">
        <v>1</v>
      </c>
    </row>
    <row r="2" spans="1:17" x14ac:dyDescent="0.25">
      <c r="A2">
        <v>1995</v>
      </c>
      <c r="B2" s="3">
        <v>381.1</v>
      </c>
      <c r="C2">
        <v>1</v>
      </c>
      <c r="D2">
        <f t="shared" ref="D2:D42" si="0">B2/$B$2</f>
        <v>1</v>
      </c>
      <c r="P2" t="s">
        <v>110</v>
      </c>
      <c r="Q2" t="s">
        <v>111</v>
      </c>
    </row>
    <row r="3" spans="1:17" x14ac:dyDescent="0.25">
      <c r="A3">
        <v>1996</v>
      </c>
      <c r="B3" s="3">
        <v>381.7</v>
      </c>
      <c r="C3">
        <v>2</v>
      </c>
      <c r="D3">
        <f t="shared" si="0"/>
        <v>1.0015743899239045</v>
      </c>
      <c r="E3">
        <f t="shared" ref="E3:E28" si="1">B3/B2</f>
        <v>1.0015743899239045</v>
      </c>
      <c r="P3" t="s">
        <v>112</v>
      </c>
      <c r="Q3" t="s">
        <v>113</v>
      </c>
    </row>
    <row r="4" spans="1:17" x14ac:dyDescent="0.25">
      <c r="A4">
        <v>1997</v>
      </c>
      <c r="B4" s="3">
        <v>386.5</v>
      </c>
      <c r="C4">
        <v>3</v>
      </c>
      <c r="D4">
        <f t="shared" si="0"/>
        <v>1.0141695093151404</v>
      </c>
      <c r="E4">
        <f t="shared" si="1"/>
        <v>1.0125753209326698</v>
      </c>
      <c r="P4" t="s">
        <v>114</v>
      </c>
      <c r="Q4" t="s">
        <v>115</v>
      </c>
    </row>
    <row r="5" spans="1:17" x14ac:dyDescent="0.25">
      <c r="A5">
        <v>1998</v>
      </c>
      <c r="B5" s="3">
        <v>389.5</v>
      </c>
      <c r="C5">
        <v>4</v>
      </c>
      <c r="D5">
        <f t="shared" si="0"/>
        <v>1.0220414589346627</v>
      </c>
      <c r="E5">
        <f t="shared" si="1"/>
        <v>1.0077619663648125</v>
      </c>
      <c r="P5" t="s">
        <v>116</v>
      </c>
      <c r="Q5" t="s">
        <v>117</v>
      </c>
    </row>
    <row r="6" spans="1:17" x14ac:dyDescent="0.25">
      <c r="A6">
        <v>1999</v>
      </c>
      <c r="B6" s="3">
        <v>390.6</v>
      </c>
      <c r="C6">
        <v>5</v>
      </c>
      <c r="D6">
        <f t="shared" si="0"/>
        <v>1.0249278404618209</v>
      </c>
      <c r="E6">
        <f t="shared" si="1"/>
        <v>1.002824133504493</v>
      </c>
      <c r="P6" t="s">
        <v>118</v>
      </c>
      <c r="Q6" t="s">
        <v>119</v>
      </c>
    </row>
    <row r="7" spans="1:17" x14ac:dyDescent="0.25">
      <c r="A7">
        <v>2000</v>
      </c>
      <c r="B7" s="3">
        <v>394.1</v>
      </c>
      <c r="C7">
        <v>6</v>
      </c>
      <c r="D7">
        <f t="shared" si="0"/>
        <v>1.0341117816845973</v>
      </c>
      <c r="E7">
        <f t="shared" si="1"/>
        <v>1.0089605734767024</v>
      </c>
      <c r="P7" t="s">
        <v>120</v>
      </c>
      <c r="Q7" t="s">
        <v>121</v>
      </c>
    </row>
    <row r="8" spans="1:17" x14ac:dyDescent="0.25">
      <c r="A8">
        <v>2001</v>
      </c>
      <c r="B8" s="3">
        <v>394.3</v>
      </c>
      <c r="C8">
        <v>7</v>
      </c>
      <c r="D8">
        <f t="shared" si="0"/>
        <v>1.0346365783258986</v>
      </c>
      <c r="E8">
        <f t="shared" si="1"/>
        <v>1.0005074854097944</v>
      </c>
      <c r="P8" t="s">
        <v>122</v>
      </c>
      <c r="Q8" t="s">
        <v>123</v>
      </c>
    </row>
    <row r="9" spans="1:17" x14ac:dyDescent="0.25">
      <c r="A9">
        <v>2002</v>
      </c>
      <c r="B9" s="3">
        <v>395.6</v>
      </c>
      <c r="C9">
        <v>8</v>
      </c>
      <c r="D9">
        <f t="shared" si="0"/>
        <v>1.0380477564943584</v>
      </c>
      <c r="E9">
        <f t="shared" si="1"/>
        <v>1.0032969819934061</v>
      </c>
      <c r="P9" t="s">
        <v>124</v>
      </c>
      <c r="Q9" t="s">
        <v>125</v>
      </c>
    </row>
    <row r="10" spans="1:17" x14ac:dyDescent="0.25">
      <c r="A10">
        <v>2003</v>
      </c>
      <c r="B10" s="3">
        <v>402</v>
      </c>
      <c r="C10">
        <v>9</v>
      </c>
      <c r="D10">
        <f t="shared" si="0"/>
        <v>1.0548412490160062</v>
      </c>
      <c r="E10">
        <f t="shared" si="1"/>
        <v>1.0161779575328613</v>
      </c>
      <c r="P10" t="s">
        <v>126</v>
      </c>
      <c r="Q10" t="s">
        <v>127</v>
      </c>
    </row>
    <row r="11" spans="1:17" x14ac:dyDescent="0.25">
      <c r="A11">
        <v>2004</v>
      </c>
      <c r="B11" s="3">
        <v>444.2</v>
      </c>
      <c r="C11">
        <v>10</v>
      </c>
      <c r="D11">
        <f t="shared" si="0"/>
        <v>1.1655733403306219</v>
      </c>
      <c r="E11">
        <f t="shared" si="1"/>
        <v>1.1049751243781094</v>
      </c>
      <c r="P11" t="s">
        <v>128</v>
      </c>
      <c r="Q11" t="s">
        <v>129</v>
      </c>
    </row>
    <row r="12" spans="1:17" x14ac:dyDescent="0.25">
      <c r="A12">
        <v>2005</v>
      </c>
      <c r="B12" s="3">
        <v>468.2</v>
      </c>
      <c r="C12">
        <v>11</v>
      </c>
      <c r="D12">
        <f t="shared" si="0"/>
        <v>1.2285489372868013</v>
      </c>
      <c r="E12">
        <f t="shared" si="1"/>
        <v>1.0540297163439891</v>
      </c>
      <c r="P12" t="s">
        <v>130</v>
      </c>
      <c r="Q12" t="s">
        <v>131</v>
      </c>
    </row>
    <row r="13" spans="1:17" x14ac:dyDescent="0.25">
      <c r="A13">
        <v>2006</v>
      </c>
      <c r="B13" s="3">
        <v>499.6</v>
      </c>
      <c r="C13">
        <v>12</v>
      </c>
      <c r="D13">
        <f t="shared" si="0"/>
        <v>1.3109420099711362</v>
      </c>
      <c r="E13">
        <f t="shared" si="1"/>
        <v>1.0670653566851773</v>
      </c>
      <c r="P13" t="s">
        <v>132</v>
      </c>
      <c r="Q13" t="s">
        <v>133</v>
      </c>
    </row>
    <row r="14" spans="1:17" x14ac:dyDescent="0.25">
      <c r="A14">
        <v>2007</v>
      </c>
      <c r="B14" s="3">
        <v>525.4</v>
      </c>
      <c r="C14">
        <v>13</v>
      </c>
      <c r="D14">
        <f t="shared" si="0"/>
        <v>1.378640776699029</v>
      </c>
      <c r="E14">
        <f t="shared" si="1"/>
        <v>1.0516413130504403</v>
      </c>
      <c r="P14" t="s">
        <v>134</v>
      </c>
      <c r="Q14" t="s">
        <v>135</v>
      </c>
    </row>
    <row r="15" spans="1:17" x14ac:dyDescent="0.25">
      <c r="A15">
        <v>2008</v>
      </c>
      <c r="B15" s="3">
        <v>575.4</v>
      </c>
      <c r="C15">
        <v>14</v>
      </c>
      <c r="D15">
        <f t="shared" si="0"/>
        <v>1.5098399370244029</v>
      </c>
      <c r="E15">
        <f t="shared" si="1"/>
        <v>1.0951655881233346</v>
      </c>
      <c r="P15" t="s">
        <v>136</v>
      </c>
      <c r="Q15" t="s">
        <v>137</v>
      </c>
    </row>
    <row r="16" spans="1:17" x14ac:dyDescent="0.25">
      <c r="A16">
        <v>2009</v>
      </c>
      <c r="B16" s="3">
        <v>521.9</v>
      </c>
      <c r="C16">
        <v>15</v>
      </c>
      <c r="D16">
        <f t="shared" si="0"/>
        <v>1.3694568354762529</v>
      </c>
      <c r="E16">
        <f t="shared" si="1"/>
        <v>0.90702120264164054</v>
      </c>
      <c r="G16" t="s">
        <v>47</v>
      </c>
      <c r="H16" t="s">
        <v>31</v>
      </c>
      <c r="I16" t="s">
        <v>9</v>
      </c>
      <c r="J16" t="s">
        <v>39</v>
      </c>
      <c r="K16">
        <v>0.89</v>
      </c>
      <c r="P16" t="s">
        <v>138</v>
      </c>
      <c r="Q16" t="s">
        <v>139</v>
      </c>
    </row>
    <row r="17" spans="1:34" x14ac:dyDescent="0.25">
      <c r="A17">
        <v>2010</v>
      </c>
      <c r="B17" s="3">
        <v>550.79999999999995</v>
      </c>
      <c r="C17">
        <v>16</v>
      </c>
      <c r="D17">
        <f t="shared" si="0"/>
        <v>1.4452899501443188</v>
      </c>
      <c r="E17">
        <f t="shared" si="1"/>
        <v>1.0553745928338762</v>
      </c>
      <c r="G17" t="s">
        <v>47</v>
      </c>
      <c r="H17" t="s">
        <v>31</v>
      </c>
      <c r="I17" t="s">
        <v>10</v>
      </c>
      <c r="J17" t="s">
        <v>39</v>
      </c>
      <c r="K17">
        <v>0.89</v>
      </c>
      <c r="P17" t="s">
        <v>140</v>
      </c>
      <c r="Q17" t="s">
        <v>141</v>
      </c>
    </row>
    <row r="18" spans="1:34" x14ac:dyDescent="0.25">
      <c r="A18">
        <v>2011</v>
      </c>
      <c r="B18" s="3">
        <v>585.70000000000005</v>
      </c>
      <c r="C18">
        <v>17</v>
      </c>
      <c r="D18">
        <f t="shared" si="0"/>
        <v>1.5368669640514301</v>
      </c>
      <c r="E18">
        <f t="shared" si="1"/>
        <v>1.0633623819898332</v>
      </c>
      <c r="G18" t="s">
        <v>47</v>
      </c>
      <c r="H18" t="s">
        <v>31</v>
      </c>
      <c r="I18" t="s">
        <v>11</v>
      </c>
      <c r="J18" t="s">
        <v>40</v>
      </c>
      <c r="K18">
        <v>0.85</v>
      </c>
      <c r="P18" t="s">
        <v>142</v>
      </c>
      <c r="Q18" t="s">
        <v>143</v>
      </c>
    </row>
    <row r="19" spans="1:34" x14ac:dyDescent="0.25">
      <c r="A19">
        <v>2012</v>
      </c>
      <c r="B19" s="3">
        <v>584.6</v>
      </c>
      <c r="C19">
        <v>18</v>
      </c>
      <c r="D19">
        <f t="shared" si="0"/>
        <v>1.5339805825242718</v>
      </c>
      <c r="E19">
        <f t="shared" si="1"/>
        <v>0.99812190541232704</v>
      </c>
      <c r="G19" t="s">
        <v>47</v>
      </c>
      <c r="H19" t="s">
        <v>31</v>
      </c>
      <c r="I19" t="s">
        <v>12</v>
      </c>
      <c r="J19" t="s">
        <v>46</v>
      </c>
      <c r="K19">
        <v>0.85</v>
      </c>
      <c r="P19" t="s">
        <v>144</v>
      </c>
      <c r="Q19" t="s">
        <v>145</v>
      </c>
    </row>
    <row r="20" spans="1:34" x14ac:dyDescent="0.25">
      <c r="A20">
        <v>2013</v>
      </c>
      <c r="B20" s="3">
        <v>567.29999999999995</v>
      </c>
      <c r="C20">
        <v>19</v>
      </c>
      <c r="D20">
        <f t="shared" si="0"/>
        <v>1.4885856730516922</v>
      </c>
      <c r="E20">
        <f t="shared" si="1"/>
        <v>0.97040711597673612</v>
      </c>
      <c r="G20" t="s">
        <v>47</v>
      </c>
      <c r="H20" t="s">
        <v>31</v>
      </c>
      <c r="I20" t="s">
        <v>10</v>
      </c>
      <c r="J20" t="s">
        <v>46</v>
      </c>
      <c r="K20">
        <v>0.85</v>
      </c>
      <c r="P20" t="s">
        <v>146</v>
      </c>
      <c r="Q20" t="s">
        <v>147</v>
      </c>
    </row>
    <row r="21" spans="1:34" x14ac:dyDescent="0.25">
      <c r="A21">
        <v>2014</v>
      </c>
      <c r="B21" s="3">
        <v>576.1</v>
      </c>
      <c r="C21">
        <v>20</v>
      </c>
      <c r="D21">
        <f t="shared" si="0"/>
        <v>1.5116767252689582</v>
      </c>
      <c r="E21">
        <f t="shared" si="1"/>
        <v>1.0155120747399966</v>
      </c>
      <c r="G21" t="s">
        <v>25</v>
      </c>
      <c r="H21" t="s">
        <v>31</v>
      </c>
      <c r="I21" t="s">
        <v>9</v>
      </c>
      <c r="J21" t="s">
        <v>42</v>
      </c>
      <c r="K21">
        <v>0.24</v>
      </c>
      <c r="P21" t="s">
        <v>148</v>
      </c>
      <c r="Q21" t="s">
        <v>149</v>
      </c>
    </row>
    <row r="22" spans="1:34" x14ac:dyDescent="0.25">
      <c r="A22">
        <v>2015</v>
      </c>
      <c r="B22" s="3">
        <v>556.79999999999995</v>
      </c>
      <c r="C22">
        <v>21</v>
      </c>
      <c r="D22">
        <f t="shared" si="0"/>
        <v>1.4610338493833637</v>
      </c>
      <c r="E22">
        <f t="shared" si="1"/>
        <v>0.966498871723659</v>
      </c>
      <c r="G22" t="s">
        <v>48</v>
      </c>
      <c r="H22" t="s">
        <v>31</v>
      </c>
      <c r="I22" t="s">
        <v>9</v>
      </c>
      <c r="J22" t="s">
        <v>44</v>
      </c>
      <c r="K22">
        <v>1.03043478</v>
      </c>
      <c r="P22" t="s">
        <v>150</v>
      </c>
      <c r="Q22" t="s">
        <v>151</v>
      </c>
    </row>
    <row r="23" spans="1:34" x14ac:dyDescent="0.25">
      <c r="A23">
        <v>2016</v>
      </c>
      <c r="B23" s="3">
        <v>541.70000000000005</v>
      </c>
      <c r="C23">
        <v>22</v>
      </c>
      <c r="D23">
        <f t="shared" si="0"/>
        <v>1.421411702965101</v>
      </c>
      <c r="E23">
        <f t="shared" si="1"/>
        <v>0.97288074712643691</v>
      </c>
      <c r="G23" t="s">
        <v>25</v>
      </c>
      <c r="H23" t="s">
        <v>31</v>
      </c>
      <c r="I23" t="s">
        <v>9</v>
      </c>
      <c r="J23" t="s">
        <v>44</v>
      </c>
      <c r="K23">
        <v>1.03043478</v>
      </c>
      <c r="P23" t="s">
        <v>152</v>
      </c>
      <c r="Q23" t="s">
        <v>153</v>
      </c>
    </row>
    <row r="24" spans="1:34" x14ac:dyDescent="0.25">
      <c r="A24">
        <v>2017</v>
      </c>
      <c r="B24" s="3">
        <v>567.5</v>
      </c>
      <c r="C24">
        <v>23</v>
      </c>
      <c r="D24">
        <f t="shared" si="0"/>
        <v>1.4891104696929938</v>
      </c>
      <c r="E24">
        <f t="shared" si="1"/>
        <v>1.0476278382868747</v>
      </c>
      <c r="G24" t="s">
        <v>48</v>
      </c>
      <c r="H24" t="s">
        <v>31</v>
      </c>
      <c r="I24" t="s">
        <v>9</v>
      </c>
      <c r="J24" t="s">
        <v>45</v>
      </c>
      <c r="K24">
        <v>0.76</v>
      </c>
      <c r="P24" t="s">
        <v>154</v>
      </c>
      <c r="Q24" t="s">
        <v>155</v>
      </c>
    </row>
    <row r="25" spans="1:34" x14ac:dyDescent="0.25">
      <c r="A25">
        <v>2018</v>
      </c>
      <c r="B25" s="3">
        <v>603.1</v>
      </c>
      <c r="C25">
        <v>24</v>
      </c>
      <c r="D25">
        <f t="shared" si="0"/>
        <v>1.5825242718446602</v>
      </c>
      <c r="E25">
        <f t="shared" si="1"/>
        <v>1.0627312775330398</v>
      </c>
      <c r="G25" t="s">
        <v>48</v>
      </c>
      <c r="H25" t="s">
        <v>31</v>
      </c>
      <c r="I25" t="s">
        <v>11</v>
      </c>
      <c r="J25" t="s">
        <v>45</v>
      </c>
      <c r="K25">
        <v>0.76</v>
      </c>
      <c r="P25" t="s">
        <v>156</v>
      </c>
      <c r="Q25" t="s">
        <v>157</v>
      </c>
    </row>
    <row r="26" spans="1:34" x14ac:dyDescent="0.25">
      <c r="A26">
        <v>2019</v>
      </c>
      <c r="B26" s="3">
        <v>607.5</v>
      </c>
      <c r="C26">
        <v>25</v>
      </c>
      <c r="D26">
        <f t="shared" si="0"/>
        <v>1.594069797953293</v>
      </c>
      <c r="E26">
        <f t="shared" si="1"/>
        <v>1.0072956391974797</v>
      </c>
      <c r="G26" t="s">
        <v>25</v>
      </c>
      <c r="H26" t="s">
        <v>31</v>
      </c>
      <c r="I26" t="s">
        <v>11</v>
      </c>
      <c r="J26" t="s">
        <v>43</v>
      </c>
      <c r="K26">
        <v>0.245</v>
      </c>
      <c r="P26" t="s">
        <v>158</v>
      </c>
      <c r="Q26" t="s">
        <v>159</v>
      </c>
      <c r="V26">
        <f>_xlfn.STDEV.P(U27:U48)</f>
        <v>6.2732870054567721E-2</v>
      </c>
    </row>
    <row r="27" spans="1:34" x14ac:dyDescent="0.25">
      <c r="A27">
        <v>2020</v>
      </c>
      <c r="B27" s="3">
        <v>596.20000000000005</v>
      </c>
      <c r="C27">
        <v>26</v>
      </c>
      <c r="D27">
        <f t="shared" si="0"/>
        <v>1.5644187877197586</v>
      </c>
      <c r="E27">
        <f t="shared" si="1"/>
        <v>0.98139917695473255</v>
      </c>
      <c r="O27">
        <f>Q27/$Q$48</f>
        <v>2.0694902358610197</v>
      </c>
      <c r="P27">
        <v>2022</v>
      </c>
      <c r="Q27">
        <v>816</v>
      </c>
      <c r="R27">
        <v>1</v>
      </c>
      <c r="S27" cm="1">
        <f t="array" ref="S27:S48">_xlfn.SORTBY(Q27:Q48,P27:P48,)</f>
        <v>394.3</v>
      </c>
      <c r="T27">
        <f>S27/$S$27</f>
        <v>1</v>
      </c>
      <c r="U27">
        <f>S27/S27</f>
        <v>1</v>
      </c>
      <c r="V27">
        <f>AVERAGE($U$27:$U$48)</f>
        <v>1.0354858725105249</v>
      </c>
      <c r="W27">
        <f>S27</f>
        <v>394.3</v>
      </c>
      <c r="X27">
        <v>394.3</v>
      </c>
      <c r="Y27">
        <v>1.0167999999999999</v>
      </c>
      <c r="Z27">
        <v>394.3</v>
      </c>
      <c r="AA27">
        <f>V27*7338.6-7051</f>
        <v>548.01662400573878</v>
      </c>
    </row>
    <row r="28" spans="1:34" x14ac:dyDescent="0.25">
      <c r="A28">
        <v>2021</v>
      </c>
      <c r="B28" s="3">
        <v>708</v>
      </c>
      <c r="C28">
        <v>27</v>
      </c>
      <c r="D28">
        <f t="shared" si="0"/>
        <v>1.8577801102072946</v>
      </c>
      <c r="E28">
        <f t="shared" si="1"/>
        <v>1.187520966118752</v>
      </c>
      <c r="O28">
        <f t="shared" ref="O28:O48" si="2">Q28/$Q$48</f>
        <v>1.7976160284047678</v>
      </c>
      <c r="P28">
        <v>2021</v>
      </c>
      <c r="Q28">
        <v>708.8</v>
      </c>
      <c r="R28">
        <v>2</v>
      </c>
      <c r="S28">
        <v>395.6</v>
      </c>
      <c r="T28">
        <f t="shared" ref="T28:T48" si="3">S28/$S$27</f>
        <v>1.0032969819934061</v>
      </c>
      <c r="U28">
        <f>S28/S27</f>
        <v>1.0032969819934061</v>
      </c>
      <c r="V28">
        <f t="shared" ref="V28:V60" si="4">AVERAGE($U$27:$U$48)</f>
        <v>1.0354858725105249</v>
      </c>
      <c r="W28">
        <f>V28*W27</f>
        <v>408.29207953089997</v>
      </c>
      <c r="X28">
        <v>395.6</v>
      </c>
      <c r="Y28">
        <v>1.0185999999999999</v>
      </c>
      <c r="Z28">
        <v>395.6</v>
      </c>
      <c r="AA28">
        <f t="shared" ref="AA28:AA60" si="5">V28*7338.6-7051</f>
        <v>548.01662400573878</v>
      </c>
      <c r="AB28">
        <f>T28-T27</f>
        <v>3.2969819934061118E-3</v>
      </c>
      <c r="AD28">
        <f>AVERAGE(AB28:AB48)</f>
        <v>5.0928106469572368E-2</v>
      </c>
      <c r="AE28">
        <f>T27+$AD$28</f>
        <v>1.0509281064695724</v>
      </c>
      <c r="AF28">
        <f>AE28*$S$27</f>
        <v>414.38095238095241</v>
      </c>
      <c r="AG28">
        <v>395.6</v>
      </c>
      <c r="AH28">
        <v>3.2969819934061118E-3</v>
      </c>
    </row>
    <row r="29" spans="1:34" x14ac:dyDescent="0.25">
      <c r="A29">
        <v>2022</v>
      </c>
      <c r="B29" s="3">
        <v>816</v>
      </c>
      <c r="C29">
        <v>28</v>
      </c>
      <c r="D29">
        <f>B29/$B$2</f>
        <v>2.141170296510102</v>
      </c>
      <c r="E29">
        <f>B29/B28</f>
        <v>1.152542372881356</v>
      </c>
      <c r="O29">
        <f t="shared" si="2"/>
        <v>1.5120466649759068</v>
      </c>
      <c r="P29">
        <v>2020</v>
      </c>
      <c r="Q29">
        <v>596.20000000000005</v>
      </c>
      <c r="R29">
        <v>3</v>
      </c>
      <c r="S29">
        <v>402</v>
      </c>
      <c r="T29">
        <f t="shared" si="3"/>
        <v>1.0195282779609434</v>
      </c>
      <c r="U29">
        <f t="shared" ref="U29:U48" si="6">S29/S28</f>
        <v>1.0161779575328613</v>
      </c>
      <c r="V29">
        <f t="shared" si="4"/>
        <v>1.0354858725105249</v>
      </c>
      <c r="W29">
        <f t="shared" ref="W29:W48" si="7">V29*W28</f>
        <v>422.78068021219059</v>
      </c>
      <c r="X29">
        <v>402</v>
      </c>
      <c r="Y29">
        <v>1.0204</v>
      </c>
      <c r="Z29">
        <v>402</v>
      </c>
      <c r="AA29">
        <f t="shared" si="5"/>
        <v>548.01662400573878</v>
      </c>
      <c r="AB29">
        <f>T29-T28</f>
        <v>1.6231295967537251E-2</v>
      </c>
      <c r="AC29">
        <f>AB29-AB28</f>
        <v>1.293431397413114E-2</v>
      </c>
      <c r="AD29" cm="1">
        <f t="array" ref="AD29">AVERAGE(ABS(AC29:AC48))</f>
        <v>7.9343139741313712E-2</v>
      </c>
      <c r="AE29">
        <f t="shared" ref="AE29:AE63" si="8">AE28+$AD$28</f>
        <v>1.1018562129391447</v>
      </c>
      <c r="AF29">
        <f t="shared" ref="AF29:AF63" si="9">AE29*$S$27</f>
        <v>434.46190476190475</v>
      </c>
      <c r="AG29">
        <v>402</v>
      </c>
      <c r="AH29">
        <f>IF(ISEVEN(R28),AH28+($AD$29+R29*0.0027+0.0153),AH28-($AD$29+R29*0.0027+0.0153))</f>
        <v>0.10604012173471981</v>
      </c>
    </row>
    <row r="30" spans="1:34" x14ac:dyDescent="0.25">
      <c r="A30">
        <v>2023</v>
      </c>
      <c r="B30" s="3">
        <f>0.0188*C30^3-0.687*C30^2+18.137*C30+330.24</f>
        <v>736.95920000000001</v>
      </c>
      <c r="C30">
        <v>29</v>
      </c>
      <c r="D30">
        <f t="shared" si="0"/>
        <v>1.933768564681186</v>
      </c>
      <c r="E30">
        <f t="shared" ref="E30:E42" si="10">B30/B29</f>
        <v>0.90313627450980394</v>
      </c>
      <c r="F30">
        <f>C30*0.0019+1.0032</f>
        <v>1.0583</v>
      </c>
      <c r="O30">
        <f t="shared" si="2"/>
        <v>1.5407050469185899</v>
      </c>
      <c r="P30">
        <v>2019</v>
      </c>
      <c r="Q30">
        <v>607.5</v>
      </c>
      <c r="R30">
        <v>4</v>
      </c>
      <c r="S30">
        <v>444.2</v>
      </c>
      <c r="T30">
        <f t="shared" si="3"/>
        <v>1.1265533857468932</v>
      </c>
      <c r="U30">
        <f t="shared" si="6"/>
        <v>1.1049751243781094</v>
      </c>
      <c r="V30">
        <f t="shared" si="4"/>
        <v>1.0354858725105249</v>
      </c>
      <c r="W30">
        <f t="shared" si="7"/>
        <v>437.7834215301134</v>
      </c>
      <c r="X30">
        <v>444.2</v>
      </c>
      <c r="Y30">
        <v>1.0222</v>
      </c>
      <c r="Z30">
        <v>444.2</v>
      </c>
      <c r="AA30">
        <f t="shared" si="5"/>
        <v>548.01662400573878</v>
      </c>
      <c r="AB30">
        <f t="shared" ref="AB30:AB48" si="11">T30-T29</f>
        <v>0.10702510778594987</v>
      </c>
      <c r="AC30">
        <f t="shared" ref="AC30:AC48" si="12">AB30-AB29</f>
        <v>9.0793811818412617E-2</v>
      </c>
      <c r="AE30">
        <f t="shared" si="8"/>
        <v>1.1527843194087171</v>
      </c>
      <c r="AF30">
        <f t="shared" si="9"/>
        <v>454.54285714285714</v>
      </c>
      <c r="AG30">
        <v>444.2</v>
      </c>
      <c r="AH30">
        <f t="shared" ref="AH30:AH48" si="13">IF(ISEVEN(R29),AH29+($AD$29+R30*0.0027+0.0153),AH29-($AD$29+R30*0.0027+0.0153))</f>
        <v>5.9698199340610381E-4</v>
      </c>
    </row>
    <row r="31" spans="1:34" x14ac:dyDescent="0.25">
      <c r="A31">
        <v>2024</v>
      </c>
      <c r="B31" s="3">
        <f t="shared" ref="B31:B42" si="14">0.0188*C31^3-0.687*C31^2+18.137*C31+330.24</f>
        <v>763.65</v>
      </c>
      <c r="C31">
        <v>30</v>
      </c>
      <c r="D31">
        <f t="shared" si="0"/>
        <v>2.0038047756494355</v>
      </c>
      <c r="E31">
        <f t="shared" si="10"/>
        <v>1.0362174730975608</v>
      </c>
      <c r="F31">
        <f t="shared" ref="F31:F42" si="15">C31*0.0019+1.0032</f>
        <v>1.0602</v>
      </c>
      <c r="O31">
        <f t="shared" si="2"/>
        <v>1.5295460309409079</v>
      </c>
      <c r="P31">
        <v>2018</v>
      </c>
      <c r="Q31">
        <v>603.1</v>
      </c>
      <c r="R31">
        <v>5</v>
      </c>
      <c r="S31">
        <v>468.2</v>
      </c>
      <c r="T31">
        <f t="shared" si="3"/>
        <v>1.1874207456251584</v>
      </c>
      <c r="U31">
        <f t="shared" si="6"/>
        <v>1.0540297163439891</v>
      </c>
      <c r="V31">
        <f t="shared" si="4"/>
        <v>1.0354858725105249</v>
      </c>
      <c r="W31">
        <f t="shared" si="7"/>
        <v>453.31854821375242</v>
      </c>
      <c r="X31">
        <v>468.2</v>
      </c>
      <c r="Y31">
        <v>1.0239999999999998</v>
      </c>
      <c r="Z31">
        <v>468.2</v>
      </c>
      <c r="AA31">
        <f t="shared" si="5"/>
        <v>548.01662400573878</v>
      </c>
      <c r="AB31">
        <f t="shared" si="11"/>
        <v>6.0867359878265193E-2</v>
      </c>
      <c r="AC31">
        <f t="shared" si="12"/>
        <v>-4.6157747907684676E-2</v>
      </c>
      <c r="AE31">
        <f t="shared" si="8"/>
        <v>1.2037124258782894</v>
      </c>
      <c r="AF31">
        <f t="shared" si="9"/>
        <v>474.62380952380954</v>
      </c>
      <c r="AG31">
        <v>468.2</v>
      </c>
      <c r="AH31">
        <f t="shared" si="13"/>
        <v>0.10874012173471981</v>
      </c>
    </row>
    <row r="32" spans="1:34" x14ac:dyDescent="0.25">
      <c r="A32">
        <v>2025</v>
      </c>
      <c r="B32" s="3">
        <f t="shared" si="14"/>
        <v>792.35080000000005</v>
      </c>
      <c r="C32">
        <v>31</v>
      </c>
      <c r="D32">
        <f t="shared" si="0"/>
        <v>2.0791151928627656</v>
      </c>
      <c r="E32">
        <f t="shared" si="10"/>
        <v>1.0375837098147058</v>
      </c>
      <c r="F32">
        <f t="shared" si="15"/>
        <v>1.0621</v>
      </c>
      <c r="O32">
        <f t="shared" si="2"/>
        <v>1.439259447121481</v>
      </c>
      <c r="P32">
        <v>2017</v>
      </c>
      <c r="Q32">
        <v>567.5</v>
      </c>
      <c r="R32">
        <v>6</v>
      </c>
      <c r="S32">
        <v>499.6</v>
      </c>
      <c r="T32">
        <f t="shared" si="3"/>
        <v>1.2670555414658888</v>
      </c>
      <c r="U32">
        <f t="shared" si="6"/>
        <v>1.0670653566851773</v>
      </c>
      <c r="V32">
        <f t="shared" si="4"/>
        <v>1.0354858725105249</v>
      </c>
      <c r="W32">
        <f t="shared" si="7"/>
        <v>469.40495242232191</v>
      </c>
      <c r="X32">
        <v>499.6</v>
      </c>
      <c r="Y32">
        <v>1.0257999999999998</v>
      </c>
      <c r="Z32">
        <v>499.6</v>
      </c>
      <c r="AA32">
        <f t="shared" si="5"/>
        <v>548.01662400573878</v>
      </c>
      <c r="AB32">
        <f t="shared" si="11"/>
        <v>7.963479584073041E-2</v>
      </c>
      <c r="AC32">
        <f t="shared" si="12"/>
        <v>1.8767435962465218E-2</v>
      </c>
      <c r="AE32">
        <f t="shared" si="8"/>
        <v>1.2546405323478618</v>
      </c>
      <c r="AF32">
        <f t="shared" si="9"/>
        <v>494.70476190476194</v>
      </c>
      <c r="AG32">
        <v>499.6</v>
      </c>
      <c r="AH32">
        <f t="shared" si="13"/>
        <v>-2.1030180065938903E-3</v>
      </c>
    </row>
    <row r="33" spans="1:34" x14ac:dyDescent="0.25">
      <c r="A33">
        <v>2026</v>
      </c>
      <c r="B33" s="3">
        <f t="shared" si="14"/>
        <v>823.17439999999999</v>
      </c>
      <c r="C33">
        <v>32</v>
      </c>
      <c r="D33">
        <f t="shared" si="0"/>
        <v>2.1599958016268692</v>
      </c>
      <c r="E33">
        <f t="shared" si="10"/>
        <v>1.0389014562741654</v>
      </c>
      <c r="F33">
        <f t="shared" si="15"/>
        <v>1.0640000000000001</v>
      </c>
      <c r="O33">
        <f t="shared" si="2"/>
        <v>1.3738270352523461</v>
      </c>
      <c r="P33">
        <v>2016</v>
      </c>
      <c r="Q33">
        <v>541.70000000000005</v>
      </c>
      <c r="R33">
        <v>7</v>
      </c>
      <c r="S33">
        <v>525.4</v>
      </c>
      <c r="T33">
        <f t="shared" si="3"/>
        <v>1.332487953335024</v>
      </c>
      <c r="U33">
        <f t="shared" si="6"/>
        <v>1.0516413130504403</v>
      </c>
      <c r="V33">
        <f t="shared" si="4"/>
        <v>1.0354858725105249</v>
      </c>
      <c r="W33">
        <f t="shared" si="7"/>
        <v>486.06219671978943</v>
      </c>
      <c r="X33">
        <v>525.4</v>
      </c>
      <c r="Y33">
        <v>1.0275999999999998</v>
      </c>
      <c r="Z33">
        <v>525.4</v>
      </c>
      <c r="AA33">
        <f t="shared" si="5"/>
        <v>548.01662400573878</v>
      </c>
      <c r="AB33">
        <f t="shared" si="11"/>
        <v>6.5432411869135176E-2</v>
      </c>
      <c r="AC33">
        <f t="shared" si="12"/>
        <v>-1.4202383971595234E-2</v>
      </c>
      <c r="AE33">
        <f t="shared" si="8"/>
        <v>1.3055686388174341</v>
      </c>
      <c r="AF33">
        <f t="shared" si="9"/>
        <v>514.78571428571433</v>
      </c>
      <c r="AG33">
        <v>525.4</v>
      </c>
      <c r="AH33">
        <f t="shared" si="13"/>
        <v>0.11144012173471982</v>
      </c>
    </row>
    <row r="34" spans="1:34" x14ac:dyDescent="0.25">
      <c r="A34">
        <v>2027</v>
      </c>
      <c r="B34" s="3">
        <f t="shared" si="14"/>
        <v>856.23359999999991</v>
      </c>
      <c r="C34">
        <v>33</v>
      </c>
      <c r="D34">
        <f t="shared" si="0"/>
        <v>2.2467425872474411</v>
      </c>
      <c r="E34">
        <f t="shared" si="10"/>
        <v>1.0401606269582726</v>
      </c>
      <c r="F34">
        <f t="shared" si="15"/>
        <v>1.0659000000000001</v>
      </c>
      <c r="O34">
        <f t="shared" si="2"/>
        <v>1.4121227491757544</v>
      </c>
      <c r="P34">
        <v>2015</v>
      </c>
      <c r="Q34">
        <v>556.79999999999995</v>
      </c>
      <c r="R34">
        <v>8</v>
      </c>
      <c r="S34">
        <v>575.4</v>
      </c>
      <c r="T34">
        <f t="shared" si="3"/>
        <v>1.4592949530814099</v>
      </c>
      <c r="U34">
        <f t="shared" si="6"/>
        <v>1.0951655881233346</v>
      </c>
      <c r="V34">
        <f t="shared" si="4"/>
        <v>1.0354858725105249</v>
      </c>
      <c r="W34">
        <f t="shared" si="7"/>
        <v>503.31053786477355</v>
      </c>
      <c r="X34">
        <v>575.4</v>
      </c>
      <c r="Y34">
        <v>1.0293999999999999</v>
      </c>
      <c r="Z34">
        <v>575.4</v>
      </c>
      <c r="AA34">
        <f t="shared" si="5"/>
        <v>548.01662400573878</v>
      </c>
      <c r="AB34">
        <f t="shared" si="11"/>
        <v>0.12680699974638587</v>
      </c>
      <c r="AC34">
        <f t="shared" si="12"/>
        <v>6.1374587877250697E-2</v>
      </c>
      <c r="AE34">
        <f t="shared" si="8"/>
        <v>1.3564967452870065</v>
      </c>
      <c r="AF34">
        <f t="shared" si="9"/>
        <v>534.86666666666667</v>
      </c>
      <c r="AG34">
        <v>575.4</v>
      </c>
      <c r="AH34">
        <f t="shared" si="13"/>
        <v>-4.8030180065938982E-3</v>
      </c>
    </row>
    <row r="35" spans="1:34" x14ac:dyDescent="0.25">
      <c r="A35">
        <v>2028</v>
      </c>
      <c r="B35" s="3">
        <f t="shared" si="14"/>
        <v>891.64120000000003</v>
      </c>
      <c r="C35">
        <v>34</v>
      </c>
      <c r="D35">
        <f t="shared" si="0"/>
        <v>2.3396515350301756</v>
      </c>
      <c r="E35">
        <f t="shared" si="10"/>
        <v>1.0413527336465189</v>
      </c>
      <c r="F35">
        <f t="shared" si="15"/>
        <v>1.0678000000000001</v>
      </c>
      <c r="O35">
        <f t="shared" si="2"/>
        <v>1.4610702510778595</v>
      </c>
      <c r="P35">
        <v>2014</v>
      </c>
      <c r="Q35">
        <v>576.1</v>
      </c>
      <c r="R35">
        <v>9</v>
      </c>
      <c r="S35">
        <v>521.9</v>
      </c>
      <c r="T35">
        <f t="shared" si="3"/>
        <v>1.3236114633527769</v>
      </c>
      <c r="U35">
        <f t="shared" si="6"/>
        <v>0.90702120264164054</v>
      </c>
      <c r="V35">
        <f t="shared" si="4"/>
        <v>1.0354858725105249</v>
      </c>
      <c r="W35">
        <f t="shared" si="7"/>
        <v>521.17095144464668</v>
      </c>
      <c r="X35">
        <v>521.9</v>
      </c>
      <c r="Y35">
        <v>1.0311999999999999</v>
      </c>
      <c r="Z35">
        <v>521.9</v>
      </c>
      <c r="AA35">
        <f t="shared" si="5"/>
        <v>548.01662400573878</v>
      </c>
      <c r="AB35">
        <f t="shared" si="11"/>
        <v>-0.13568348972863298</v>
      </c>
      <c r="AC35">
        <f t="shared" si="12"/>
        <v>-0.26249048947501885</v>
      </c>
      <c r="AE35">
        <f t="shared" si="8"/>
        <v>1.4074248517565788</v>
      </c>
      <c r="AF35">
        <f t="shared" si="9"/>
        <v>554.94761904761901</v>
      </c>
      <c r="AG35">
        <v>521.9</v>
      </c>
      <c r="AH35">
        <f t="shared" si="13"/>
        <v>0.11414012173471981</v>
      </c>
    </row>
    <row r="36" spans="1:34" x14ac:dyDescent="0.25">
      <c r="A36">
        <v>2029</v>
      </c>
      <c r="B36" s="3">
        <f t="shared" si="14"/>
        <v>929.5100000000001</v>
      </c>
      <c r="C36">
        <v>35</v>
      </c>
      <c r="D36">
        <f t="shared" si="0"/>
        <v>2.4390186302807662</v>
      </c>
      <c r="E36">
        <f t="shared" si="10"/>
        <v>1.0424708952435129</v>
      </c>
      <c r="F36">
        <f t="shared" si="15"/>
        <v>1.0697000000000001</v>
      </c>
      <c r="M36">
        <f>Q39/Q44</f>
        <v>1.176420333190944</v>
      </c>
      <c r="O36">
        <f t="shared" si="2"/>
        <v>1.4387522191224955</v>
      </c>
      <c r="P36">
        <v>2013</v>
      </c>
      <c r="Q36">
        <v>567.29999999999995</v>
      </c>
      <c r="R36">
        <v>10</v>
      </c>
      <c r="S36">
        <v>550.79999999999995</v>
      </c>
      <c r="T36">
        <f t="shared" si="3"/>
        <v>1.396905909206188</v>
      </c>
      <c r="U36">
        <f t="shared" si="6"/>
        <v>1.0553745928338762</v>
      </c>
      <c r="V36">
        <f t="shared" si="4"/>
        <v>1.0354858725105249</v>
      </c>
      <c r="W36">
        <f t="shared" si="7"/>
        <v>539.66515738380042</v>
      </c>
      <c r="X36">
        <v>550.79999999999995</v>
      </c>
      <c r="Y36">
        <v>1.0329999999999999</v>
      </c>
      <c r="Z36">
        <v>550.79999999999995</v>
      </c>
      <c r="AA36">
        <f t="shared" si="5"/>
        <v>548.01662400573878</v>
      </c>
      <c r="AB36">
        <f t="shared" si="11"/>
        <v>7.329444585341105E-2</v>
      </c>
      <c r="AC36">
        <f t="shared" si="12"/>
        <v>0.20897793558204403</v>
      </c>
      <c r="AE36">
        <f t="shared" si="8"/>
        <v>1.4583529582261512</v>
      </c>
      <c r="AF36">
        <f t="shared" si="9"/>
        <v>575.02857142857147</v>
      </c>
      <c r="AG36">
        <v>550.79999999999995</v>
      </c>
      <c r="AH36">
        <f t="shared" si="13"/>
        <v>-7.5030180065938923E-3</v>
      </c>
    </row>
    <row r="37" spans="1:34" x14ac:dyDescent="0.25">
      <c r="A37">
        <v>2030</v>
      </c>
      <c r="B37" s="3">
        <f t="shared" si="14"/>
        <v>969.95280000000002</v>
      </c>
      <c r="C37">
        <v>36</v>
      </c>
      <c r="D37">
        <f t="shared" si="0"/>
        <v>2.545139858304907</v>
      </c>
      <c r="E37">
        <f t="shared" si="10"/>
        <v>1.0435098062419983</v>
      </c>
      <c r="F37">
        <f t="shared" si="15"/>
        <v>1.0716000000000001</v>
      </c>
      <c r="O37">
        <f t="shared" si="2"/>
        <v>1.4826274410347451</v>
      </c>
      <c r="P37">
        <v>2012</v>
      </c>
      <c r="Q37">
        <v>584.6</v>
      </c>
      <c r="R37">
        <v>11</v>
      </c>
      <c r="S37">
        <v>585.70000000000005</v>
      </c>
      <c r="T37">
        <f t="shared" si="3"/>
        <v>1.4854171950291657</v>
      </c>
      <c r="U37">
        <f t="shared" si="6"/>
        <v>1.0633623819898332</v>
      </c>
      <c r="V37">
        <f t="shared" si="4"/>
        <v>1.0354858725105249</v>
      </c>
      <c r="W37">
        <f t="shared" si="7"/>
        <v>558.81564635709435</v>
      </c>
      <c r="X37">
        <v>585.70000000000005</v>
      </c>
      <c r="Y37">
        <v>1.0347999999999999</v>
      </c>
      <c r="Z37">
        <v>585.70000000000005</v>
      </c>
      <c r="AA37">
        <f t="shared" si="5"/>
        <v>548.01662400573878</v>
      </c>
      <c r="AB37">
        <f t="shared" si="11"/>
        <v>8.8511285822977737E-2</v>
      </c>
      <c r="AC37">
        <f t="shared" si="12"/>
        <v>1.5216839969566687E-2</v>
      </c>
      <c r="AE37">
        <f t="shared" si="8"/>
        <v>1.5092810646957235</v>
      </c>
      <c r="AF37">
        <f t="shared" si="9"/>
        <v>595.10952380952381</v>
      </c>
      <c r="AG37">
        <v>585.70000000000005</v>
      </c>
      <c r="AH37">
        <f t="shared" si="13"/>
        <v>0.11684012173471982</v>
      </c>
    </row>
    <row r="38" spans="1:34" x14ac:dyDescent="0.25">
      <c r="A38">
        <v>2031</v>
      </c>
      <c r="B38" s="3">
        <f t="shared" si="14"/>
        <v>1013.0824</v>
      </c>
      <c r="C38">
        <v>37</v>
      </c>
      <c r="D38">
        <f t="shared" si="0"/>
        <v>2.6583112044082915</v>
      </c>
      <c r="E38">
        <f t="shared" si="10"/>
        <v>1.044465668844917</v>
      </c>
      <c r="F38">
        <f t="shared" si="15"/>
        <v>1.0735000000000001</v>
      </c>
      <c r="O38">
        <f t="shared" si="2"/>
        <v>1.4854171950291657</v>
      </c>
      <c r="P38">
        <v>2011</v>
      </c>
      <c r="Q38">
        <v>585.70000000000005</v>
      </c>
      <c r="R38">
        <v>12</v>
      </c>
      <c r="S38">
        <v>584.6</v>
      </c>
      <c r="T38">
        <f t="shared" si="3"/>
        <v>1.4826274410347451</v>
      </c>
      <c r="U38">
        <f t="shared" si="6"/>
        <v>0.99812190541232704</v>
      </c>
      <c r="V38">
        <f t="shared" si="4"/>
        <v>1.0354858725105249</v>
      </c>
      <c r="W38">
        <f t="shared" si="7"/>
        <v>578.64570714060881</v>
      </c>
      <c r="X38">
        <v>584.6</v>
      </c>
      <c r="Y38">
        <v>1.0366</v>
      </c>
      <c r="Z38">
        <v>584.6</v>
      </c>
      <c r="AA38">
        <f t="shared" si="5"/>
        <v>548.01662400573878</v>
      </c>
      <c r="AB38">
        <f t="shared" si="11"/>
        <v>-2.7897539944206073E-3</v>
      </c>
      <c r="AC38">
        <f t="shared" si="12"/>
        <v>-9.1301039817398344E-2</v>
      </c>
      <c r="AE38">
        <f t="shared" si="8"/>
        <v>1.5602091711652959</v>
      </c>
      <c r="AF38">
        <f t="shared" si="9"/>
        <v>615.19047619047615</v>
      </c>
      <c r="AG38">
        <v>584.6</v>
      </c>
      <c r="AH38">
        <f t="shared" si="13"/>
        <v>-1.0203018006593886E-2</v>
      </c>
    </row>
    <row r="39" spans="1:34" x14ac:dyDescent="0.25">
      <c r="A39">
        <v>2032</v>
      </c>
      <c r="B39" s="3">
        <f t="shared" si="14"/>
        <v>1059.0116</v>
      </c>
      <c r="C39">
        <v>38</v>
      </c>
      <c r="D39">
        <f t="shared" si="0"/>
        <v>2.7788286538966149</v>
      </c>
      <c r="E39">
        <f t="shared" si="10"/>
        <v>1.045336095069858</v>
      </c>
      <c r="F39">
        <f t="shared" si="15"/>
        <v>1.0754000000000001</v>
      </c>
      <c r="O39">
        <f t="shared" si="2"/>
        <v>1.396905909206188</v>
      </c>
      <c r="P39">
        <v>2010</v>
      </c>
      <c r="Q39">
        <v>550.79999999999995</v>
      </c>
      <c r="R39">
        <v>13</v>
      </c>
      <c r="S39">
        <v>567.29999999999995</v>
      </c>
      <c r="T39">
        <f t="shared" si="3"/>
        <v>1.4387522191224955</v>
      </c>
      <c r="U39">
        <f t="shared" si="6"/>
        <v>0.97040711597673612</v>
      </c>
      <c r="V39">
        <f t="shared" si="4"/>
        <v>1.0354858725105249</v>
      </c>
      <c r="W39">
        <f t="shared" si="7"/>
        <v>599.17945493296304</v>
      </c>
      <c r="X39">
        <v>567.29999999999995</v>
      </c>
      <c r="Y39">
        <v>1.0384</v>
      </c>
      <c r="Z39">
        <v>567.29999999999995</v>
      </c>
      <c r="AA39">
        <f t="shared" si="5"/>
        <v>548.01662400573878</v>
      </c>
      <c r="AB39">
        <f t="shared" si="11"/>
        <v>-4.3875221912249573E-2</v>
      </c>
      <c r="AC39">
        <f t="shared" si="12"/>
        <v>-4.1085467917828966E-2</v>
      </c>
      <c r="AE39">
        <f t="shared" si="8"/>
        <v>1.6111372776348682</v>
      </c>
      <c r="AF39">
        <f t="shared" si="9"/>
        <v>635.2714285714286</v>
      </c>
      <c r="AG39">
        <v>567.29999999999995</v>
      </c>
      <c r="AH39">
        <f t="shared" si="13"/>
        <v>0.11954012173471983</v>
      </c>
    </row>
    <row r="40" spans="1:34" x14ac:dyDescent="0.25">
      <c r="A40">
        <v>2033</v>
      </c>
      <c r="B40" s="3">
        <f t="shared" si="14"/>
        <v>1107.8532</v>
      </c>
      <c r="C40">
        <v>39</v>
      </c>
      <c r="D40">
        <f t="shared" si="0"/>
        <v>2.9069881920755707</v>
      </c>
      <c r="E40">
        <f t="shared" si="10"/>
        <v>1.0461199858434034</v>
      </c>
      <c r="F40">
        <f t="shared" si="15"/>
        <v>1.0773000000000001</v>
      </c>
      <c r="O40">
        <f t="shared" si="2"/>
        <v>1.3236114633527769</v>
      </c>
      <c r="P40">
        <v>2009</v>
      </c>
      <c r="Q40">
        <v>521.9</v>
      </c>
      <c r="R40">
        <v>14</v>
      </c>
      <c r="S40">
        <v>576.1</v>
      </c>
      <c r="T40">
        <f t="shared" si="3"/>
        <v>1.4610702510778595</v>
      </c>
      <c r="U40">
        <f t="shared" si="6"/>
        <v>1.0155120747399966</v>
      </c>
      <c r="V40">
        <f t="shared" si="4"/>
        <v>1.0354858725105249</v>
      </c>
      <c r="W40">
        <f t="shared" si="7"/>
        <v>620.44186068164004</v>
      </c>
      <c r="X40">
        <v>576.1</v>
      </c>
      <c r="Y40">
        <v>1.0402</v>
      </c>
      <c r="Z40">
        <v>576.1</v>
      </c>
      <c r="AA40">
        <f t="shared" si="5"/>
        <v>548.01662400573878</v>
      </c>
      <c r="AB40">
        <f t="shared" si="11"/>
        <v>2.2318031955363971E-2</v>
      </c>
      <c r="AC40">
        <f t="shared" si="12"/>
        <v>6.6193253867613544E-2</v>
      </c>
      <c r="AE40">
        <f t="shared" si="8"/>
        <v>1.6620653841044406</v>
      </c>
      <c r="AF40">
        <f t="shared" si="9"/>
        <v>655.35238095238094</v>
      </c>
      <c r="AG40">
        <v>576.1</v>
      </c>
      <c r="AH40">
        <f t="shared" si="13"/>
        <v>-1.2903018006593894E-2</v>
      </c>
    </row>
    <row r="41" spans="1:34" x14ac:dyDescent="0.25">
      <c r="A41">
        <v>2034</v>
      </c>
      <c r="B41" s="3">
        <f t="shared" si="14"/>
        <v>1159.72</v>
      </c>
      <c r="C41">
        <v>40</v>
      </c>
      <c r="D41">
        <f t="shared" si="0"/>
        <v>3.0430858042508526</v>
      </c>
      <c r="E41">
        <f t="shared" si="10"/>
        <v>1.0468173942179344</v>
      </c>
      <c r="F41">
        <f t="shared" si="15"/>
        <v>1.0792000000000002</v>
      </c>
      <c r="O41">
        <f t="shared" si="2"/>
        <v>1.4592949530814099</v>
      </c>
      <c r="P41">
        <v>2008</v>
      </c>
      <c r="Q41">
        <v>575.4</v>
      </c>
      <c r="R41">
        <v>15</v>
      </c>
      <c r="S41">
        <v>556.79999999999995</v>
      </c>
      <c r="T41">
        <f t="shared" si="3"/>
        <v>1.4121227491757544</v>
      </c>
      <c r="U41">
        <f t="shared" si="6"/>
        <v>0.966498871723659</v>
      </c>
      <c r="V41">
        <f t="shared" si="4"/>
        <v>1.0354858725105249</v>
      </c>
      <c r="W41">
        <f t="shared" si="7"/>
        <v>642.45878144998153</v>
      </c>
      <c r="X41">
        <v>556.79999999999995</v>
      </c>
      <c r="Y41">
        <v>1.0419999999999998</v>
      </c>
      <c r="Z41">
        <v>556.79999999999995</v>
      </c>
      <c r="AA41">
        <f t="shared" si="5"/>
        <v>548.01662400573878</v>
      </c>
      <c r="AB41">
        <f t="shared" si="11"/>
        <v>-4.8947501902105062E-2</v>
      </c>
      <c r="AC41">
        <f t="shared" si="12"/>
        <v>-7.1265533857469032E-2</v>
      </c>
      <c r="AE41">
        <f t="shared" si="8"/>
        <v>1.712993490574013</v>
      </c>
      <c r="AF41">
        <f t="shared" si="9"/>
        <v>675.43333333333328</v>
      </c>
      <c r="AG41">
        <v>556.79999999999995</v>
      </c>
      <c r="AH41">
        <f t="shared" si="13"/>
        <v>0.12224012173471983</v>
      </c>
    </row>
    <row r="42" spans="1:34" x14ac:dyDescent="0.25">
      <c r="A42">
        <v>2035</v>
      </c>
      <c r="B42" s="3">
        <f t="shared" si="14"/>
        <v>1214.7248</v>
      </c>
      <c r="C42">
        <v>41</v>
      </c>
      <c r="D42">
        <f t="shared" si="0"/>
        <v>3.187417475728155</v>
      </c>
      <c r="E42">
        <f t="shared" si="10"/>
        <v>1.0474293795053977</v>
      </c>
      <c r="F42">
        <f t="shared" si="15"/>
        <v>1.0811000000000002</v>
      </c>
      <c r="O42">
        <f t="shared" si="2"/>
        <v>1.332487953335024</v>
      </c>
      <c r="P42">
        <v>2007</v>
      </c>
      <c r="Q42">
        <v>525.4</v>
      </c>
      <c r="R42">
        <v>16</v>
      </c>
      <c r="S42">
        <v>541.70000000000005</v>
      </c>
      <c r="T42">
        <f t="shared" si="3"/>
        <v>1.3738270352523461</v>
      </c>
      <c r="U42">
        <f t="shared" si="6"/>
        <v>0.97288074712643691</v>
      </c>
      <c r="V42">
        <f t="shared" si="4"/>
        <v>1.0354858725105249</v>
      </c>
      <c r="W42">
        <f t="shared" si="7"/>
        <v>665.25699186178281</v>
      </c>
      <c r="X42">
        <v>541.70000000000005</v>
      </c>
      <c r="Y42">
        <v>1.0437999999999998</v>
      </c>
      <c r="Z42">
        <v>541.70000000000005</v>
      </c>
      <c r="AA42">
        <f t="shared" si="5"/>
        <v>548.01662400573878</v>
      </c>
      <c r="AB42">
        <f t="shared" si="11"/>
        <v>-3.8295713923408359E-2</v>
      </c>
      <c r="AC42">
        <f t="shared" si="12"/>
        <v>1.0651787978696703E-2</v>
      </c>
      <c r="AE42">
        <f t="shared" si="8"/>
        <v>1.7639215970435853</v>
      </c>
      <c r="AF42">
        <f t="shared" si="9"/>
        <v>695.51428571428573</v>
      </c>
      <c r="AG42">
        <v>541.70000000000005</v>
      </c>
      <c r="AH42">
        <f t="shared" si="13"/>
        <v>-1.5603018006593875E-2</v>
      </c>
    </row>
    <row r="43" spans="1:34" x14ac:dyDescent="0.25">
      <c r="O43">
        <f t="shared" si="2"/>
        <v>1.2670555414658888</v>
      </c>
      <c r="P43">
        <v>2006</v>
      </c>
      <c r="Q43">
        <v>499.6</v>
      </c>
      <c r="R43">
        <v>17</v>
      </c>
      <c r="S43">
        <v>567.5</v>
      </c>
      <c r="T43">
        <f t="shared" si="3"/>
        <v>1.439259447121481</v>
      </c>
      <c r="U43">
        <f t="shared" si="6"/>
        <v>1.0476278382868747</v>
      </c>
      <c r="V43">
        <f t="shared" si="4"/>
        <v>1.0354858725105249</v>
      </c>
      <c r="W43">
        <f t="shared" si="7"/>
        <v>688.86421666172532</v>
      </c>
      <c r="X43">
        <v>567.5</v>
      </c>
      <c r="Y43">
        <v>1.0455999999999999</v>
      </c>
      <c r="Z43">
        <v>567.5</v>
      </c>
      <c r="AA43">
        <f t="shared" si="5"/>
        <v>548.01662400573878</v>
      </c>
      <c r="AB43">
        <f t="shared" si="11"/>
        <v>6.5432411869134954E-2</v>
      </c>
      <c r="AC43">
        <f t="shared" si="12"/>
        <v>0.10372812579254331</v>
      </c>
      <c r="AE43">
        <f t="shared" si="8"/>
        <v>1.8148497035131577</v>
      </c>
      <c r="AF43">
        <f t="shared" si="9"/>
        <v>715.59523809523807</v>
      </c>
      <c r="AG43">
        <v>567.5</v>
      </c>
      <c r="AH43">
        <f t="shared" si="13"/>
        <v>0.12494012173471984</v>
      </c>
    </row>
    <row r="44" spans="1:34" x14ac:dyDescent="0.25">
      <c r="O44">
        <f t="shared" si="2"/>
        <v>1.1874207456251584</v>
      </c>
      <c r="P44">
        <v>2005</v>
      </c>
      <c r="Q44">
        <v>468.2</v>
      </c>
      <c r="R44">
        <v>18</v>
      </c>
      <c r="S44">
        <v>603.1</v>
      </c>
      <c r="T44">
        <f t="shared" si="3"/>
        <v>1.5295460309409079</v>
      </c>
      <c r="U44">
        <f t="shared" si="6"/>
        <v>1.0627312775330398</v>
      </c>
      <c r="V44">
        <f t="shared" si="4"/>
        <v>1.0354858725105249</v>
      </c>
      <c r="W44">
        <f t="shared" si="7"/>
        <v>713.3091644312459</v>
      </c>
      <c r="X44">
        <v>603.1</v>
      </c>
      <c r="Y44">
        <v>1.0473999999999999</v>
      </c>
      <c r="Z44">
        <v>603.1</v>
      </c>
      <c r="AA44">
        <f t="shared" si="5"/>
        <v>548.01662400573878</v>
      </c>
      <c r="AB44">
        <f t="shared" si="11"/>
        <v>9.0286583819426891E-2</v>
      </c>
      <c r="AC44">
        <f t="shared" si="12"/>
        <v>2.4854171950291937E-2</v>
      </c>
      <c r="AE44">
        <f t="shared" si="8"/>
        <v>1.86577780998273</v>
      </c>
      <c r="AF44">
        <f t="shared" si="9"/>
        <v>735.67619047619041</v>
      </c>
      <c r="AG44">
        <v>603.1</v>
      </c>
      <c r="AH44">
        <f t="shared" si="13"/>
        <v>-1.8303018006593882E-2</v>
      </c>
    </row>
    <row r="45" spans="1:34" x14ac:dyDescent="0.25">
      <c r="O45">
        <f t="shared" si="2"/>
        <v>1.1265533857468932</v>
      </c>
      <c r="P45">
        <v>2004</v>
      </c>
      <c r="Q45">
        <v>444.2</v>
      </c>
      <c r="R45">
        <v>19</v>
      </c>
      <c r="S45">
        <v>607.5</v>
      </c>
      <c r="T45">
        <f t="shared" si="3"/>
        <v>1.5407050469185899</v>
      </c>
      <c r="U45">
        <f t="shared" si="6"/>
        <v>1.0072956391974797</v>
      </c>
      <c r="V45">
        <f t="shared" si="4"/>
        <v>1.0354858725105249</v>
      </c>
      <c r="W45">
        <f t="shared" si="7"/>
        <v>738.62156250084217</v>
      </c>
      <c r="X45">
        <v>607.5</v>
      </c>
      <c r="Y45">
        <v>1.0491999999999999</v>
      </c>
      <c r="Z45">
        <v>607.5</v>
      </c>
      <c r="AA45">
        <f t="shared" si="5"/>
        <v>548.01662400573878</v>
      </c>
      <c r="AB45">
        <f t="shared" si="11"/>
        <v>1.1159015977681985E-2</v>
      </c>
      <c r="AC45">
        <f t="shared" si="12"/>
        <v>-7.9127567841744906E-2</v>
      </c>
      <c r="AE45">
        <f t="shared" si="8"/>
        <v>1.9167059164523024</v>
      </c>
      <c r="AF45">
        <f t="shared" si="9"/>
        <v>755.75714285714287</v>
      </c>
      <c r="AG45">
        <v>607.5</v>
      </c>
      <c r="AH45">
        <f t="shared" si="13"/>
        <v>0.12764012173471984</v>
      </c>
    </row>
    <row r="46" spans="1:34" x14ac:dyDescent="0.25">
      <c r="O46">
        <f t="shared" si="2"/>
        <v>1.0195282779609434</v>
      </c>
      <c r="P46">
        <v>2003</v>
      </c>
      <c r="Q46">
        <v>402</v>
      </c>
      <c r="R46">
        <v>20</v>
      </c>
      <c r="S46">
        <v>596.20000000000005</v>
      </c>
      <c r="T46">
        <f t="shared" si="3"/>
        <v>1.5120466649759068</v>
      </c>
      <c r="U46">
        <f t="shared" si="6"/>
        <v>0.98139917695473255</v>
      </c>
      <c r="V46">
        <f t="shared" si="4"/>
        <v>1.0354858725105249</v>
      </c>
      <c r="W46">
        <f t="shared" si="7"/>
        <v>764.83219310127174</v>
      </c>
      <c r="X46">
        <v>596.20000000000005</v>
      </c>
      <c r="Y46">
        <v>1.0509999999999999</v>
      </c>
      <c r="Z46">
        <v>596.20000000000005</v>
      </c>
      <c r="AA46">
        <f t="shared" si="5"/>
        <v>548.01662400573878</v>
      </c>
      <c r="AB46">
        <f t="shared" si="11"/>
        <v>-2.8658381942683109E-2</v>
      </c>
      <c r="AC46">
        <f t="shared" si="12"/>
        <v>-3.9817397920365094E-2</v>
      </c>
      <c r="AE46">
        <f t="shared" si="8"/>
        <v>1.9676340229218747</v>
      </c>
      <c r="AF46">
        <f t="shared" si="9"/>
        <v>775.83809523809521</v>
      </c>
      <c r="AG46">
        <v>596.20000000000005</v>
      </c>
      <c r="AH46">
        <f t="shared" si="13"/>
        <v>-2.1003018006593904E-2</v>
      </c>
    </row>
    <row r="47" spans="1:34" x14ac:dyDescent="0.25">
      <c r="O47">
        <f t="shared" si="2"/>
        <v>1.0032969819934061</v>
      </c>
      <c r="P47">
        <v>2002</v>
      </c>
      <c r="Q47">
        <v>395.6</v>
      </c>
      <c r="R47">
        <v>21</v>
      </c>
      <c r="S47">
        <v>708.8</v>
      </c>
      <c r="T47">
        <f t="shared" si="3"/>
        <v>1.7976160284047678</v>
      </c>
      <c r="U47">
        <f t="shared" si="6"/>
        <v>1.1888627977188861</v>
      </c>
      <c r="V47">
        <f t="shared" si="4"/>
        <v>1.0354858725105249</v>
      </c>
      <c r="W47">
        <f t="shared" si="7"/>
        <v>791.97293079760868</v>
      </c>
      <c r="X47">
        <v>708.8</v>
      </c>
      <c r="Y47">
        <v>1.0528</v>
      </c>
      <c r="Z47">
        <v>708.8</v>
      </c>
      <c r="AA47">
        <f t="shared" si="5"/>
        <v>548.01662400573878</v>
      </c>
      <c r="AB47">
        <f t="shared" si="11"/>
        <v>0.28556936342886097</v>
      </c>
      <c r="AC47">
        <f t="shared" si="12"/>
        <v>0.31422774537154408</v>
      </c>
      <c r="AE47">
        <f t="shared" si="8"/>
        <v>2.0185621293914471</v>
      </c>
      <c r="AF47">
        <f t="shared" si="9"/>
        <v>795.91904761904766</v>
      </c>
      <c r="AG47">
        <v>708.8</v>
      </c>
      <c r="AH47">
        <f t="shared" si="13"/>
        <v>0.13034012173471982</v>
      </c>
    </row>
    <row r="48" spans="1:34" x14ac:dyDescent="0.25">
      <c r="A48" t="s">
        <v>187</v>
      </c>
      <c r="B48" t="s">
        <v>188</v>
      </c>
      <c r="C48" t="s">
        <v>189</v>
      </c>
      <c r="D48" t="s">
        <v>190</v>
      </c>
      <c r="E48" t="s">
        <v>183</v>
      </c>
      <c r="F48" t="s">
        <v>191</v>
      </c>
      <c r="G48" t="s">
        <v>192</v>
      </c>
      <c r="J48" t="s">
        <v>193</v>
      </c>
      <c r="O48">
        <f t="shared" si="2"/>
        <v>1</v>
      </c>
      <c r="P48">
        <v>2001</v>
      </c>
      <c r="Q48">
        <v>394.3</v>
      </c>
      <c r="R48">
        <v>22</v>
      </c>
      <c r="S48">
        <v>816</v>
      </c>
      <c r="T48">
        <f t="shared" si="3"/>
        <v>2.0694902358610197</v>
      </c>
      <c r="U48">
        <f t="shared" si="6"/>
        <v>1.1512415349887133</v>
      </c>
      <c r="V48">
        <f t="shared" si="4"/>
        <v>1.0354858725105249</v>
      </c>
      <c r="W48">
        <f t="shared" si="7"/>
        <v>820.07678125167945</v>
      </c>
      <c r="X48">
        <v>816</v>
      </c>
      <c r="Y48">
        <v>1.0546</v>
      </c>
      <c r="Z48">
        <v>816</v>
      </c>
      <c r="AA48">
        <f t="shared" si="5"/>
        <v>548.01662400573878</v>
      </c>
      <c r="AB48">
        <f t="shared" si="11"/>
        <v>0.2718742074562519</v>
      </c>
      <c r="AC48">
        <f t="shared" si="12"/>
        <v>-1.3695155972609063E-2</v>
      </c>
      <c r="AE48">
        <f t="shared" si="8"/>
        <v>2.0694902358610197</v>
      </c>
      <c r="AF48">
        <f t="shared" si="9"/>
        <v>816.00000000000011</v>
      </c>
      <c r="AG48">
        <v>816</v>
      </c>
      <c r="AH48">
        <f t="shared" si="13"/>
        <v>-2.3703018006593912E-2</v>
      </c>
    </row>
    <row r="49" spans="1:34" x14ac:dyDescent="0.25">
      <c r="A49" t="s">
        <v>194</v>
      </c>
      <c r="B49">
        <v>1749</v>
      </c>
      <c r="C49" t="s">
        <v>195</v>
      </c>
      <c r="D49">
        <v>783</v>
      </c>
      <c r="E49" t="s">
        <v>196</v>
      </c>
      <c r="F49" t="s">
        <v>197</v>
      </c>
      <c r="G49">
        <v>2010</v>
      </c>
      <c r="H49" s="3">
        <f>B49*$B$29/$B$17</f>
        <v>2591.1111111111113</v>
      </c>
      <c r="I49">
        <v>2022</v>
      </c>
      <c r="J49" t="s">
        <v>198</v>
      </c>
      <c r="R49">
        <v>23</v>
      </c>
      <c r="S49">
        <f>T49*S27</f>
        <v>836.08095238095257</v>
      </c>
      <c r="T49">
        <f t="shared" ref="T49:T60" si="16">T48+$AD$28</f>
        <v>2.1204183423305922</v>
      </c>
      <c r="V49">
        <f t="shared" si="4"/>
        <v>1.0354858725105249</v>
      </c>
      <c r="W49">
        <f t="shared" ref="W49:W60" si="17">V49*W48</f>
        <v>849.17792136001822</v>
      </c>
      <c r="AA49">
        <f t="shared" si="5"/>
        <v>548.01662400573878</v>
      </c>
      <c r="AE49">
        <f t="shared" si="8"/>
        <v>2.1204183423305922</v>
      </c>
      <c r="AF49">
        <f>AE49*$S$27</f>
        <v>836.08095238095257</v>
      </c>
    </row>
    <row r="50" spans="1:34" x14ac:dyDescent="0.25">
      <c r="A50" t="s">
        <v>199</v>
      </c>
      <c r="B50">
        <v>121</v>
      </c>
      <c r="C50" t="s">
        <v>195</v>
      </c>
      <c r="D50">
        <v>756</v>
      </c>
      <c r="E50" t="s">
        <v>196</v>
      </c>
      <c r="F50" t="s">
        <v>197</v>
      </c>
      <c r="G50">
        <v>2014</v>
      </c>
      <c r="H50" s="3">
        <f>B50*$B$29/$B$21</f>
        <v>171.3869119944454</v>
      </c>
      <c r="I50">
        <v>2022</v>
      </c>
      <c r="J50" t="s">
        <v>200</v>
      </c>
      <c r="R50">
        <v>24</v>
      </c>
      <c r="S50">
        <f t="shared" ref="S50:S60" si="18">T50*S28</f>
        <v>858.9846551453453</v>
      </c>
      <c r="T50">
        <f t="shared" si="16"/>
        <v>2.1713464488001648</v>
      </c>
      <c r="V50">
        <f t="shared" si="4"/>
        <v>1.0354858725105249</v>
      </c>
      <c r="W50">
        <f t="shared" si="17"/>
        <v>879.31174081615234</v>
      </c>
      <c r="AA50">
        <f t="shared" si="5"/>
        <v>548.01662400573878</v>
      </c>
      <c r="AE50">
        <f t="shared" si="8"/>
        <v>2.1713464488001648</v>
      </c>
      <c r="AF50">
        <f t="shared" si="9"/>
        <v>856.16190476190502</v>
      </c>
    </row>
    <row r="51" spans="1:34" x14ac:dyDescent="0.25">
      <c r="A51" t="s">
        <v>201</v>
      </c>
      <c r="B51">
        <v>268</v>
      </c>
      <c r="C51" t="s">
        <v>195</v>
      </c>
      <c r="D51">
        <v>783</v>
      </c>
      <c r="E51" t="s">
        <v>196</v>
      </c>
      <c r="F51" t="s">
        <v>197</v>
      </c>
      <c r="G51">
        <v>2010</v>
      </c>
      <c r="H51" s="3">
        <f>B51*$B$29/$B$17</f>
        <v>397.03703703703707</v>
      </c>
      <c r="I51">
        <v>2022</v>
      </c>
      <c r="J51" t="s">
        <v>198</v>
      </c>
      <c r="R51">
        <v>25</v>
      </c>
      <c r="S51">
        <f t="shared" si="18"/>
        <v>893.35437121843438</v>
      </c>
      <c r="T51">
        <f t="shared" si="16"/>
        <v>2.2222745552697374</v>
      </c>
      <c r="V51">
        <f t="shared" si="4"/>
        <v>1.0354858725105249</v>
      </c>
      <c r="W51">
        <f t="shared" si="17"/>
        <v>910.51488514776202</v>
      </c>
      <c r="AA51">
        <f t="shared" si="5"/>
        <v>548.01662400573878</v>
      </c>
      <c r="AE51">
        <f t="shared" si="8"/>
        <v>2.2222745552697374</v>
      </c>
      <c r="AF51">
        <f t="shared" si="9"/>
        <v>876.24285714285747</v>
      </c>
    </row>
    <row r="52" spans="1:34" x14ac:dyDescent="0.25">
      <c r="A52" t="s">
        <v>202</v>
      </c>
      <c r="B52">
        <v>1290</v>
      </c>
      <c r="C52" t="s">
        <v>203</v>
      </c>
      <c r="D52">
        <v>1000</v>
      </c>
      <c r="E52" t="s">
        <v>204</v>
      </c>
      <c r="F52" t="s">
        <v>197</v>
      </c>
      <c r="G52">
        <v>2014</v>
      </c>
      <c r="H52" s="3">
        <f>B52*$B$29/$B$21</f>
        <v>1827.1827807672278</v>
      </c>
      <c r="I52">
        <v>2022</v>
      </c>
      <c r="J52" t="s">
        <v>205</v>
      </c>
      <c r="R52">
        <v>26</v>
      </c>
      <c r="S52">
        <f t="shared" si="18"/>
        <v>1009.7566223446015</v>
      </c>
      <c r="T52">
        <f t="shared" si="16"/>
        <v>2.27320266173931</v>
      </c>
      <c r="V52">
        <f t="shared" si="4"/>
        <v>1.0354858725105249</v>
      </c>
      <c r="W52">
        <f t="shared" si="17"/>
        <v>942.82530028105077</v>
      </c>
      <c r="AA52">
        <f t="shared" si="5"/>
        <v>548.01662400573878</v>
      </c>
      <c r="AE52">
        <f t="shared" si="8"/>
        <v>2.27320266173931</v>
      </c>
      <c r="AF52">
        <f t="shared" si="9"/>
        <v>896.32380952380993</v>
      </c>
    </row>
    <row r="53" spans="1:34" x14ac:dyDescent="0.25">
      <c r="A53" t="s">
        <v>206</v>
      </c>
      <c r="B53">
        <v>2000</v>
      </c>
      <c r="C53" t="s">
        <v>207</v>
      </c>
      <c r="D53">
        <v>5000</v>
      </c>
      <c r="E53" t="s">
        <v>204</v>
      </c>
      <c r="F53" t="s">
        <v>197</v>
      </c>
      <c r="G53">
        <v>2010</v>
      </c>
      <c r="H53" s="3">
        <f>B53*$B$29/$B$17</f>
        <v>2962.962962962963</v>
      </c>
      <c r="I53">
        <v>2022</v>
      </c>
      <c r="J53" t="s">
        <v>208</v>
      </c>
      <c r="R53">
        <v>27</v>
      </c>
      <c r="S53">
        <f t="shared" si="18"/>
        <v>1088.1580256753987</v>
      </c>
      <c r="T53">
        <f t="shared" si="16"/>
        <v>2.3241307682088825</v>
      </c>
      <c r="V53">
        <f t="shared" si="4"/>
        <v>1.0354858725105249</v>
      </c>
      <c r="W53">
        <f t="shared" si="17"/>
        <v>976.28227868652152</v>
      </c>
      <c r="AA53">
        <f t="shared" si="5"/>
        <v>548.01662400573878</v>
      </c>
      <c r="AE53">
        <f t="shared" si="8"/>
        <v>2.3241307682088825</v>
      </c>
      <c r="AF53">
        <f t="shared" si="9"/>
        <v>916.40476190476238</v>
      </c>
    </row>
    <row r="54" spans="1:34" x14ac:dyDescent="0.25">
      <c r="A54" t="s">
        <v>209</v>
      </c>
      <c r="B54">
        <v>2700</v>
      </c>
      <c r="C54" t="s">
        <v>210</v>
      </c>
      <c r="D54">
        <f>150*60*60</f>
        <v>540000</v>
      </c>
      <c r="E54" t="s">
        <v>196</v>
      </c>
      <c r="F54" t="s">
        <v>211</v>
      </c>
      <c r="G54">
        <v>2010</v>
      </c>
      <c r="H54" s="3">
        <f>B54*$B$29/$B$17</f>
        <v>4000.0000000000005</v>
      </c>
      <c r="I54">
        <v>2022</v>
      </c>
      <c r="J54" t="s">
        <v>205</v>
      </c>
      <c r="R54">
        <v>28</v>
      </c>
      <c r="S54">
        <f t="shared" si="18"/>
        <v>1186.5794137893563</v>
      </c>
      <c r="T54">
        <f t="shared" si="16"/>
        <v>2.3750588746784551</v>
      </c>
      <c r="V54">
        <f t="shared" si="4"/>
        <v>1.0354858725105249</v>
      </c>
      <c r="W54">
        <f t="shared" si="17"/>
        <v>1010.9265071622762</v>
      </c>
      <c r="AA54">
        <f t="shared" si="5"/>
        <v>548.01662400573878</v>
      </c>
      <c r="AE54">
        <f t="shared" si="8"/>
        <v>2.3750588746784551</v>
      </c>
      <c r="AF54">
        <f t="shared" si="9"/>
        <v>936.48571428571483</v>
      </c>
    </row>
    <row r="55" spans="1:34" x14ac:dyDescent="0.25">
      <c r="A55" t="s">
        <v>212</v>
      </c>
      <c r="B55">
        <v>490</v>
      </c>
      <c r="C55" t="s">
        <v>213</v>
      </c>
      <c r="D55">
        <v>413</v>
      </c>
      <c r="E55" t="s">
        <v>204</v>
      </c>
      <c r="F55" t="s">
        <v>197</v>
      </c>
      <c r="G55">
        <v>2014</v>
      </c>
      <c r="H55" s="3">
        <f>B55*$B$29/$B$21</f>
        <v>694.04617253948959</v>
      </c>
      <c r="I55">
        <v>2022</v>
      </c>
      <c r="J55" t="s">
        <v>214</v>
      </c>
      <c r="R55">
        <v>29</v>
      </c>
      <c r="S55">
        <f t="shared" si="18"/>
        <v>1274.6135598951737</v>
      </c>
      <c r="T55">
        <f t="shared" si="16"/>
        <v>2.4259869811480277</v>
      </c>
      <c r="V55">
        <f t="shared" si="4"/>
        <v>1.0354858725105249</v>
      </c>
      <c r="W55">
        <f t="shared" si="17"/>
        <v>1046.800116312947</v>
      </c>
      <c r="AA55">
        <f t="shared" si="5"/>
        <v>548.01662400573878</v>
      </c>
      <c r="AE55">
        <f t="shared" si="8"/>
        <v>2.4259869811480277</v>
      </c>
      <c r="AF55">
        <f t="shared" si="9"/>
        <v>956.56666666666729</v>
      </c>
    </row>
    <row r="56" spans="1:34" x14ac:dyDescent="0.25">
      <c r="A56" t="s">
        <v>215</v>
      </c>
      <c r="B56">
        <v>75</v>
      </c>
      <c r="C56" t="s">
        <v>207</v>
      </c>
      <c r="D56">
        <v>1000</v>
      </c>
      <c r="E56" t="s">
        <v>204</v>
      </c>
      <c r="F56" t="s">
        <v>197</v>
      </c>
      <c r="G56">
        <v>2017</v>
      </c>
      <c r="H56" s="3">
        <f>B56*$B$29/$B$24</f>
        <v>107.84140969162996</v>
      </c>
      <c r="I56">
        <v>2022</v>
      </c>
      <c r="J56" t="s">
        <v>216</v>
      </c>
      <c r="R56">
        <v>30</v>
      </c>
      <c r="S56">
        <f t="shared" si="18"/>
        <v>1425.2169414151672</v>
      </c>
      <c r="T56">
        <f t="shared" si="16"/>
        <v>2.4769150876176003</v>
      </c>
      <c r="V56">
        <f t="shared" si="4"/>
        <v>1.0354858725105249</v>
      </c>
      <c r="W56">
        <f t="shared" si="17"/>
        <v>1083.946731784431</v>
      </c>
      <c r="AA56">
        <f t="shared" si="5"/>
        <v>548.01662400573878</v>
      </c>
      <c r="AE56">
        <f t="shared" si="8"/>
        <v>2.4769150876176003</v>
      </c>
      <c r="AF56">
        <f t="shared" si="9"/>
        <v>976.64761904761986</v>
      </c>
    </row>
    <row r="57" spans="1:34" x14ac:dyDescent="0.25">
      <c r="R57">
        <v>31</v>
      </c>
      <c r="S57">
        <f t="shared" si="18"/>
        <v>1319.2813629940954</v>
      </c>
      <c r="T57">
        <f t="shared" si="16"/>
        <v>2.5278431940871728</v>
      </c>
      <c r="V57">
        <f t="shared" si="4"/>
        <v>1.0354858725105249</v>
      </c>
      <c r="W57">
        <f t="shared" si="17"/>
        <v>1122.4115273167336</v>
      </c>
      <c r="AA57">
        <f t="shared" si="5"/>
        <v>548.01662400573878</v>
      </c>
      <c r="AE57">
        <f t="shared" si="8"/>
        <v>2.5278431940871728</v>
      </c>
      <c r="AF57">
        <f t="shared" si="9"/>
        <v>996.72857142857231</v>
      </c>
    </row>
    <row r="58" spans="1:34" x14ac:dyDescent="0.25">
      <c r="R58">
        <v>32</v>
      </c>
      <c r="S58">
        <f t="shared" si="18"/>
        <v>1420.3872323466553</v>
      </c>
      <c r="T58">
        <f t="shared" si="16"/>
        <v>2.5787713005567454</v>
      </c>
      <c r="V58">
        <f t="shared" si="4"/>
        <v>1.0354858725105249</v>
      </c>
      <c r="W58">
        <f t="shared" si="17"/>
        <v>1162.2412796794388</v>
      </c>
      <c r="AA58">
        <f t="shared" si="5"/>
        <v>548.01662400573878</v>
      </c>
      <c r="AE58">
        <f t="shared" si="8"/>
        <v>2.5787713005567454</v>
      </c>
      <c r="AF58">
        <f t="shared" si="9"/>
        <v>1016.8095238095248</v>
      </c>
    </row>
    <row r="59" spans="1:34" x14ac:dyDescent="0.25">
      <c r="R59">
        <v>33</v>
      </c>
      <c r="S59">
        <f t="shared" si="18"/>
        <v>1540.2149426953147</v>
      </c>
      <c r="T59">
        <f t="shared" si="16"/>
        <v>2.629699407026318</v>
      </c>
      <c r="V59">
        <f t="shared" si="4"/>
        <v>1.0354858725105249</v>
      </c>
      <c r="W59">
        <f t="shared" si="17"/>
        <v>1203.4844255566127</v>
      </c>
      <c r="AA59">
        <f t="shared" si="5"/>
        <v>548.01662400573878</v>
      </c>
      <c r="AE59">
        <f t="shared" si="8"/>
        <v>2.629699407026318</v>
      </c>
      <c r="AF59">
        <f t="shared" si="9"/>
        <v>1036.8904761904771</v>
      </c>
    </row>
    <row r="60" spans="1:34" x14ac:dyDescent="0.25">
      <c r="R60">
        <v>34</v>
      </c>
      <c r="S60">
        <f t="shared" si="18"/>
        <v>1567.0948443896978</v>
      </c>
      <c r="T60">
        <f t="shared" si="16"/>
        <v>2.6806275134958906</v>
      </c>
      <c r="V60">
        <f t="shared" si="4"/>
        <v>1.0354858725105249</v>
      </c>
      <c r="W60">
        <f t="shared" si="17"/>
        <v>1246.1911204503169</v>
      </c>
      <c r="AA60">
        <f t="shared" si="5"/>
        <v>548.01662400573878</v>
      </c>
      <c r="AE60">
        <f t="shared" si="8"/>
        <v>2.6806275134958906</v>
      </c>
      <c r="AF60">
        <f t="shared" si="9"/>
        <v>1056.9714285714297</v>
      </c>
      <c r="AH60">
        <f>AF60/S27</f>
        <v>2.6806275134958906</v>
      </c>
    </row>
    <row r="61" spans="1:34" x14ac:dyDescent="0.25">
      <c r="A61" t="s">
        <v>108</v>
      </c>
      <c r="B61">
        <f>B49+B50+B51+B55+B56</f>
        <v>2703</v>
      </c>
      <c r="C61" t="e">
        <f t="shared" ref="C61:G61" si="19">C49+C50+C51+C55+C56</f>
        <v>#VALUE!</v>
      </c>
      <c r="D61">
        <f t="shared" si="19"/>
        <v>3735</v>
      </c>
      <c r="E61" t="e">
        <f t="shared" si="19"/>
        <v>#VALUE!</v>
      </c>
      <c r="F61" t="e">
        <f t="shared" si="19"/>
        <v>#VALUE!</v>
      </c>
      <c r="G61">
        <f t="shared" si="19"/>
        <v>10065</v>
      </c>
      <c r="H61" s="3">
        <f t="shared" ref="H61" si="20">H49+H50+H51+H55+H56</f>
        <v>3961.4226423737132</v>
      </c>
      <c r="I61">
        <v>756</v>
      </c>
      <c r="J61" t="s">
        <v>196</v>
      </c>
      <c r="R61">
        <v>35</v>
      </c>
      <c r="AE61">
        <f t="shared" si="8"/>
        <v>2.7315556199654631</v>
      </c>
      <c r="AF61">
        <f t="shared" si="9"/>
        <v>1077.0523809523822</v>
      </c>
    </row>
    <row r="62" spans="1:34" x14ac:dyDescent="0.25">
      <c r="A62" t="s">
        <v>109</v>
      </c>
      <c r="B62">
        <f>B49+B50+B52+B53+B55+B56</f>
        <v>5725</v>
      </c>
      <c r="C62" t="e">
        <f t="shared" ref="C62:G62" si="21">C49+C50+C52+C53+C55+C56</f>
        <v>#VALUE!</v>
      </c>
      <c r="D62">
        <f t="shared" si="21"/>
        <v>8952</v>
      </c>
      <c r="E62" t="e">
        <f t="shared" si="21"/>
        <v>#VALUE!</v>
      </c>
      <c r="F62" t="e">
        <f t="shared" si="21"/>
        <v>#VALUE!</v>
      </c>
      <c r="G62">
        <f t="shared" si="21"/>
        <v>12079</v>
      </c>
      <c r="H62" s="3">
        <f t="shared" ref="H62" si="22">H49+H50+H52+H53+H55+H56</f>
        <v>8354.531349066865</v>
      </c>
      <c r="I62">
        <v>756</v>
      </c>
      <c r="J62" t="s">
        <v>196</v>
      </c>
      <c r="R62">
        <v>36</v>
      </c>
      <c r="AE62">
        <f t="shared" si="8"/>
        <v>2.7824837264350357</v>
      </c>
      <c r="AF62">
        <f t="shared" si="9"/>
        <v>1097.1333333333346</v>
      </c>
    </row>
    <row r="63" spans="1:34" x14ac:dyDescent="0.25">
      <c r="R63">
        <v>37</v>
      </c>
      <c r="AE63">
        <f t="shared" si="8"/>
        <v>2.8334118329046083</v>
      </c>
      <c r="AF63">
        <f t="shared" si="9"/>
        <v>1117.2142857142871</v>
      </c>
    </row>
    <row r="65" spans="1:5" x14ac:dyDescent="0.25">
      <c r="A65" t="s">
        <v>217</v>
      </c>
      <c r="B65" t="s">
        <v>218</v>
      </c>
      <c r="C65" t="s">
        <v>219</v>
      </c>
      <c r="D65" t="s">
        <v>220</v>
      </c>
      <c r="E65" t="s">
        <v>221</v>
      </c>
    </row>
    <row r="66" spans="1:5" x14ac:dyDescent="0.25">
      <c r="A66" t="s">
        <v>222</v>
      </c>
      <c r="B66" t="s">
        <v>239</v>
      </c>
      <c r="C66">
        <v>46</v>
      </c>
      <c r="D66">
        <v>25</v>
      </c>
      <c r="E66" t="s">
        <v>223</v>
      </c>
    </row>
    <row r="67" spans="1:5" x14ac:dyDescent="0.25">
      <c r="A67" t="s">
        <v>224</v>
      </c>
      <c r="B67" t="s">
        <v>225</v>
      </c>
      <c r="C67" t="s">
        <v>226</v>
      </c>
      <c r="D67">
        <v>19</v>
      </c>
      <c r="E67" t="s">
        <v>227</v>
      </c>
    </row>
    <row r="68" spans="1:5" x14ac:dyDescent="0.25">
      <c r="A68" t="s">
        <v>228</v>
      </c>
      <c r="B68" t="s">
        <v>240</v>
      </c>
      <c r="C68">
        <v>1000</v>
      </c>
      <c r="D68">
        <v>48</v>
      </c>
      <c r="E68" t="s">
        <v>229</v>
      </c>
    </row>
    <row r="69" spans="1:5" x14ac:dyDescent="0.25">
      <c r="A69" t="s">
        <v>230</v>
      </c>
      <c r="B69" t="s">
        <v>239</v>
      </c>
      <c r="C69" t="s">
        <v>231</v>
      </c>
      <c r="D69" t="s">
        <v>211</v>
      </c>
      <c r="E69" t="s">
        <v>227</v>
      </c>
    </row>
    <row r="70" spans="1:5" x14ac:dyDescent="0.25">
      <c r="A70" t="s">
        <v>232</v>
      </c>
      <c r="B70" t="s">
        <v>233</v>
      </c>
      <c r="C70">
        <v>37</v>
      </c>
      <c r="D70">
        <v>43</v>
      </c>
      <c r="E70" t="s">
        <v>223</v>
      </c>
    </row>
    <row r="71" spans="1:5" x14ac:dyDescent="0.25">
      <c r="A71" t="s">
        <v>234</v>
      </c>
      <c r="B71" t="s">
        <v>241</v>
      </c>
      <c r="C71">
        <v>1800</v>
      </c>
      <c r="D71">
        <v>323</v>
      </c>
      <c r="E71" t="s">
        <v>223</v>
      </c>
    </row>
    <row r="72" spans="1:5" x14ac:dyDescent="0.25">
      <c r="A72" t="s">
        <v>235</v>
      </c>
      <c r="B72" t="s">
        <v>239</v>
      </c>
      <c r="C72">
        <v>355</v>
      </c>
      <c r="D72">
        <v>67</v>
      </c>
      <c r="E72" t="s">
        <v>236</v>
      </c>
    </row>
    <row r="73" spans="1:5" x14ac:dyDescent="0.25">
      <c r="A73" t="s">
        <v>237</v>
      </c>
      <c r="B73" t="s">
        <v>238</v>
      </c>
      <c r="C73">
        <v>355</v>
      </c>
      <c r="D73">
        <v>67</v>
      </c>
      <c r="E73" t="s">
        <v>236</v>
      </c>
    </row>
    <row r="76" spans="1:5" x14ac:dyDescent="0.25">
      <c r="D76">
        <f>D67+D68+D70+D71</f>
        <v>433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B390-D1A2-4BAC-8406-E707F70451D0}">
  <dimension ref="A1:C13"/>
  <sheetViews>
    <sheetView workbookViewId="0">
      <selection activeCell="J14" sqref="J14"/>
    </sheetView>
  </sheetViews>
  <sheetFormatPr defaultRowHeight="15" x14ac:dyDescent="0.25"/>
  <cols>
    <col min="1" max="1" width="17.5703125" bestFit="1" customWidth="1"/>
    <col min="2" max="2" width="13" customWidth="1"/>
    <col min="3" max="3" width="12.140625" customWidth="1"/>
  </cols>
  <sheetData>
    <row r="1" spans="1:3" x14ac:dyDescent="0.25">
      <c r="A1" s="4" t="s">
        <v>160</v>
      </c>
      <c r="B1" s="4" t="s">
        <v>161</v>
      </c>
      <c r="C1" s="4" t="s">
        <v>162</v>
      </c>
    </row>
    <row r="2" spans="1:3" x14ac:dyDescent="0.25">
      <c r="A2" t="s">
        <v>163</v>
      </c>
      <c r="B2">
        <v>0.2</v>
      </c>
      <c r="C2" t="s">
        <v>169</v>
      </c>
    </row>
    <row r="3" spans="1:3" x14ac:dyDescent="0.25">
      <c r="A3" t="s">
        <v>164</v>
      </c>
      <c r="B3">
        <v>0.01</v>
      </c>
      <c r="C3" t="s">
        <v>169</v>
      </c>
    </row>
    <row r="4" spans="1:3" x14ac:dyDescent="0.25">
      <c r="A4" t="s">
        <v>165</v>
      </c>
      <c r="B4">
        <v>0.1</v>
      </c>
      <c r="C4" t="s">
        <v>169</v>
      </c>
    </row>
    <row r="5" spans="1:3" x14ac:dyDescent="0.25">
      <c r="A5" t="s">
        <v>166</v>
      </c>
      <c r="B5">
        <v>0.15</v>
      </c>
      <c r="C5" t="s">
        <v>169</v>
      </c>
    </row>
    <row r="6" spans="1:3" x14ac:dyDescent="0.25">
      <c r="A6" t="s">
        <v>167</v>
      </c>
      <c r="B6">
        <v>0.05</v>
      </c>
      <c r="C6" t="s">
        <v>169</v>
      </c>
    </row>
    <row r="7" spans="1:3" x14ac:dyDescent="0.25">
      <c r="A7" t="s">
        <v>168</v>
      </c>
      <c r="B7">
        <v>0.2</v>
      </c>
      <c r="C7" t="s">
        <v>169</v>
      </c>
    </row>
    <row r="8" spans="1:3" x14ac:dyDescent="0.25">
      <c r="A8" t="s">
        <v>171</v>
      </c>
      <c r="B8">
        <v>0.2</v>
      </c>
      <c r="C8" t="s">
        <v>170</v>
      </c>
    </row>
    <row r="9" spans="1:3" x14ac:dyDescent="0.25">
      <c r="A9" t="s">
        <v>172</v>
      </c>
      <c r="B9">
        <v>0.1</v>
      </c>
      <c r="C9" t="s">
        <v>170</v>
      </c>
    </row>
    <row r="10" spans="1:3" x14ac:dyDescent="0.25">
      <c r="A10" t="s">
        <v>173</v>
      </c>
      <c r="B10">
        <v>0.03</v>
      </c>
      <c r="C10" t="s">
        <v>177</v>
      </c>
    </row>
    <row r="11" spans="1:3" x14ac:dyDescent="0.25">
      <c r="A11" t="s">
        <v>174</v>
      </c>
      <c r="B11">
        <v>0.05</v>
      </c>
      <c r="C11" t="s">
        <v>177</v>
      </c>
    </row>
    <row r="12" spans="1:3" x14ac:dyDescent="0.25">
      <c r="A12" t="s">
        <v>175</v>
      </c>
      <c r="B12">
        <v>0.1</v>
      </c>
      <c r="C12" t="s">
        <v>170</v>
      </c>
    </row>
    <row r="13" spans="1:3" x14ac:dyDescent="0.25">
      <c r="A13" t="s">
        <v>176</v>
      </c>
      <c r="B13">
        <v>0.05</v>
      </c>
      <c r="C13" t="s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A33-CA5D-41C4-A7C6-3B9CDBD656D9}">
  <dimension ref="A1:C4"/>
  <sheetViews>
    <sheetView workbookViewId="0">
      <selection activeCell="F31" sqref="F31"/>
    </sheetView>
  </sheetViews>
  <sheetFormatPr defaultRowHeight="15" x14ac:dyDescent="0.25"/>
  <sheetData>
    <row r="1" spans="1:3" x14ac:dyDescent="0.25">
      <c r="A1" s="1" t="s">
        <v>93</v>
      </c>
      <c r="B1" s="1" t="s">
        <v>94</v>
      </c>
      <c r="C1" s="1" t="s">
        <v>1</v>
      </c>
    </row>
    <row r="2" spans="1:3" x14ac:dyDescent="0.25">
      <c r="A2" t="s">
        <v>254</v>
      </c>
      <c r="B2" t="s">
        <v>96</v>
      </c>
      <c r="C2">
        <v>1</v>
      </c>
    </row>
    <row r="3" spans="1:3" x14ac:dyDescent="0.25">
      <c r="A3" t="s">
        <v>255</v>
      </c>
    </row>
    <row r="4" spans="1:3" x14ac:dyDescent="0.25">
      <c r="A4" t="s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8469-E02C-425B-A6FC-29CEFC13D129}">
  <dimension ref="A1:C2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94</v>
      </c>
      <c r="B1" s="1" t="s">
        <v>95</v>
      </c>
      <c r="C1" s="1" t="s">
        <v>1</v>
      </c>
    </row>
    <row r="2" spans="1:3" x14ac:dyDescent="0.25">
      <c r="A2" t="s">
        <v>96</v>
      </c>
      <c r="B2" t="s">
        <v>96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LCI_Factors</vt:lpstr>
      <vt:lpstr>Distances_SupplierPlant</vt:lpstr>
      <vt:lpstr>Distances_PlantMarket</vt:lpstr>
      <vt:lpstr>Technology_Cost</vt:lpstr>
      <vt:lpstr>Labor_Salary</vt:lpstr>
      <vt:lpstr>Utility_Consumption</vt:lpstr>
      <vt:lpstr>Byproduct_Production</vt:lpstr>
      <vt:lpstr>Feedstock_Composition</vt:lpstr>
      <vt:lpstr>Compatibility_Pretreatment</vt:lpstr>
      <vt:lpstr>Yield_Pretreatment</vt:lpstr>
      <vt:lpstr>Compatibility_Conversion_Full</vt:lpstr>
      <vt:lpstr>Compatibility_Conversion</vt:lpstr>
      <vt:lpstr>Yield_Hydrolysis</vt:lpstr>
      <vt:lpstr>Yield_Conversion</vt:lpstr>
      <vt:lpstr>Solid_Loading</vt:lpstr>
      <vt:lpstr>Compatibility_Purification</vt:lpstr>
      <vt:lpstr>Yield_Purification</vt:lpstr>
      <vt:lpstr>Demand</vt:lpstr>
      <vt:lpstr>Supply</vt:lpstr>
      <vt:lpstr>Price_F</vt:lpstr>
      <vt:lpstr>Price_U</vt:lpstr>
      <vt:lpstr>Price_P</vt:lpstr>
      <vt:lpstr>CEPCI</vt:lpstr>
      <vt:lpstr>Economics</vt:lpstr>
      <vt:lpstr>CEPCI_Old</vt:lpstr>
      <vt:lpstr>Capital_Investment</vt:lpstr>
      <vt:lpstr>Compatibility_SupplierPlant</vt:lpstr>
      <vt:lpstr>Compatibility_PlantMarket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 Valente</dc:creator>
  <cp:lastModifiedBy>Digo Valente</cp:lastModifiedBy>
  <dcterms:created xsi:type="dcterms:W3CDTF">2023-08-15T12:53:45Z</dcterms:created>
  <dcterms:modified xsi:type="dcterms:W3CDTF">2023-09-12T02:37:58Z</dcterms:modified>
</cp:coreProperties>
</file>