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963b0801e26cf/Documentos/lei-21-s2-1df-g25/"/>
    </mc:Choice>
  </mc:AlternateContent>
  <xr:revisionPtr revIDLastSave="0" documentId="13_ncr:1_{14BECF96-F13C-44FF-B1DB-2F69F2C895ED}" xr6:coauthVersionLast="47" xr6:coauthVersionMax="47" xr10:uidLastSave="{00000000-0000-0000-0000-000000000000}"/>
  <bookViews>
    <workbookView xWindow="-108" yWindow="-108" windowWidth="23256" windowHeight="12576" activeTab="5" xr2:uid="{F80C88BB-E4DE-D54A-AE33-392A853E4BDD}"/>
  </bookViews>
  <sheets>
    <sheet name="1DF_G2" sheetId="1" r:id="rId1"/>
    <sheet name="Exercício 1" sheetId="2" r:id="rId2"/>
    <sheet name="Exercício 2" sheetId="3" r:id="rId3"/>
    <sheet name="Exercício 3" sheetId="4" r:id="rId4"/>
    <sheet name="Exercício 4" sheetId="5" r:id="rId5"/>
    <sheet name="Exercício 5" sheetId="6" r:id="rId6"/>
    <sheet name="Exercício 6" sheetId="7" r:id="rId7"/>
  </sheets>
  <definedNames>
    <definedName name="_xlchart.v1.0" hidden="1">'1DF_G2'!$I$3:$I$152</definedName>
    <definedName name="_xlchart.v1.1" hidden="1">'1DF_G2'!$H$3:$H$122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7" l="1"/>
  <c r="C20" i="6"/>
  <c r="D17" i="7"/>
  <c r="C16" i="6"/>
  <c r="F11" i="7"/>
  <c r="D11" i="7"/>
  <c r="F9" i="7"/>
  <c r="D9" i="7"/>
  <c r="C10" i="6"/>
  <c r="C9" i="6"/>
  <c r="F15" i="4" l="1"/>
  <c r="D15" i="4"/>
  <c r="L156" i="3" l="1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D159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7" i="5"/>
  <c r="D19" i="5" s="1"/>
  <c r="D111" i="3" l="1"/>
  <c r="E111" i="3"/>
  <c r="J111" i="3"/>
  <c r="I111" i="3"/>
  <c r="L159" i="3"/>
  <c r="F159" i="3"/>
  <c r="J159" i="3"/>
  <c r="I52" i="3"/>
  <c r="C90" i="3"/>
  <c r="I126" i="3"/>
  <c r="D65" i="3"/>
  <c r="D45" i="3"/>
  <c r="I130" i="3"/>
  <c r="D130" i="3"/>
  <c r="I128" i="3"/>
  <c r="D128" i="3"/>
  <c r="I124" i="3"/>
  <c r="D126" i="3"/>
  <c r="D124" i="3"/>
  <c r="D50" i="3" l="1" a="1"/>
  <c r="D50" i="3" s="1"/>
  <c r="I50" i="3" s="1"/>
  <c r="D28" i="3" a="1"/>
  <c r="D28" i="3" s="1"/>
  <c r="I28" i="3" s="1"/>
  <c r="D40" i="2" a="1"/>
  <c r="D56" i="2" a="1"/>
  <c r="K153" i="2"/>
  <c r="F10" i="4" s="1"/>
  <c r="F17" i="4" s="1"/>
  <c r="K151" i="2"/>
  <c r="F11" i="4" s="1"/>
  <c r="E153" i="2"/>
  <c r="D10" i="4" s="1"/>
  <c r="D17" i="4" s="1"/>
  <c r="E151" i="2"/>
  <c r="D11" i="4" s="1"/>
  <c r="D56" i="2" l="1"/>
  <c r="D65" i="2" s="1"/>
  <c r="F10" i="5"/>
  <c r="F11" i="5" s="1"/>
  <c r="F30" i="4"/>
  <c r="D30" i="4"/>
  <c r="F24" i="4"/>
  <c r="D24" i="4"/>
  <c r="D40" i="2"/>
  <c r="D49" i="2" s="1"/>
  <c r="F41" i="2" s="1"/>
  <c r="D10" i="5"/>
  <c r="D11" i="5" s="1"/>
  <c r="F56" i="2"/>
  <c r="I56" i="2"/>
  <c r="I57" i="2" s="1"/>
  <c r="F62" i="3"/>
  <c r="I100" i="3" s="1"/>
  <c r="F61" i="3"/>
  <c r="I99" i="3" s="1"/>
  <c r="F60" i="3"/>
  <c r="I98" i="3" s="1"/>
  <c r="I40" i="2"/>
  <c r="I41" i="2" s="1"/>
  <c r="I42" i="2" s="1"/>
  <c r="I43" i="2" s="1"/>
  <c r="I44" i="2" s="1"/>
  <c r="I45" i="2" s="1"/>
  <c r="E21" i="5" l="1"/>
  <c r="E25" i="5" s="1"/>
  <c r="L56" i="2"/>
  <c r="I51" i="3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F43" i="3"/>
  <c r="C103" i="3" s="1"/>
  <c r="I29" i="3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F40" i="2"/>
  <c r="D142" i="2"/>
  <c r="F142" i="2" s="1"/>
  <c r="D140" i="2"/>
  <c r="F140" i="2" s="1"/>
  <c r="E112" i="2"/>
  <c r="D112" i="2"/>
  <c r="E111" i="2"/>
  <c r="D111" i="2"/>
  <c r="E110" i="2"/>
  <c r="D110" i="2"/>
  <c r="G25" i="5" l="1"/>
  <c r="D123" i="2"/>
  <c r="D122" i="2"/>
  <c r="D167" i="2"/>
  <c r="D171" i="2"/>
  <c r="D170" i="2"/>
  <c r="D172" i="2"/>
  <c r="D165" i="2"/>
  <c r="D169" i="2"/>
  <c r="D168" i="2"/>
  <c r="D166" i="2"/>
  <c r="G122" i="2"/>
  <c r="G123" i="2"/>
  <c r="E169" i="2"/>
  <c r="E168" i="2"/>
  <c r="E167" i="2"/>
  <c r="E170" i="2"/>
  <c r="E172" i="2"/>
  <c r="E166" i="2"/>
  <c r="E171" i="2"/>
  <c r="E165" i="2"/>
  <c r="F53" i="3"/>
  <c r="I91" i="3" s="1"/>
  <c r="F58" i="3"/>
  <c r="I96" i="3" s="1"/>
  <c r="F55" i="3"/>
  <c r="I93" i="3" s="1"/>
  <c r="F59" i="3"/>
  <c r="I97" i="3" s="1"/>
  <c r="F52" i="3"/>
  <c r="I90" i="3" s="1"/>
  <c r="F54" i="3"/>
  <c r="I92" i="3" s="1"/>
  <c r="F57" i="3"/>
  <c r="I95" i="3" s="1"/>
  <c r="F51" i="3"/>
  <c r="I89" i="3" s="1"/>
  <c r="F63" i="3"/>
  <c r="I101" i="3" s="1"/>
  <c r="F56" i="3"/>
  <c r="I94" i="3" s="1"/>
  <c r="F37" i="3"/>
  <c r="C97" i="3" s="1"/>
  <c r="F36" i="3"/>
  <c r="C96" i="3" s="1"/>
  <c r="F28" i="3"/>
  <c r="F35" i="3"/>
  <c r="C95" i="3" s="1"/>
  <c r="F42" i="3"/>
  <c r="C102" i="3" s="1"/>
  <c r="F33" i="3"/>
  <c r="C93" i="3" s="1"/>
  <c r="F41" i="3"/>
  <c r="C101" i="3" s="1"/>
  <c r="F34" i="3"/>
  <c r="C94" i="3" s="1"/>
  <c r="F38" i="3"/>
  <c r="C98" i="3" s="1"/>
  <c r="F40" i="3"/>
  <c r="C100" i="3" s="1"/>
  <c r="F39" i="3"/>
  <c r="C99" i="3" s="1"/>
  <c r="F50" i="3"/>
  <c r="F29" i="3"/>
  <c r="C89" i="3" s="1"/>
  <c r="F32" i="3"/>
  <c r="C92" i="3" s="1"/>
  <c r="F30" i="3"/>
  <c r="F31" i="3"/>
  <c r="C91" i="3" s="1"/>
  <c r="L40" i="2"/>
  <c r="L41" i="2" s="1"/>
  <c r="I58" i="2"/>
  <c r="I59" i="2" s="1"/>
  <c r="I60" i="2" s="1"/>
  <c r="I61" i="2" s="1"/>
  <c r="I62" i="2" s="1"/>
  <c r="I63" i="2" s="1"/>
  <c r="F57" i="2"/>
  <c r="E174" i="2" l="1"/>
  <c r="L57" i="2"/>
  <c r="D174" i="2"/>
  <c r="L50" i="3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I88" i="3"/>
  <c r="L88" i="3" s="1"/>
  <c r="L28" i="3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C88" i="3"/>
  <c r="F88" i="3" s="1"/>
  <c r="F65" i="3"/>
  <c r="F45" i="3"/>
  <c r="I46" i="2"/>
  <c r="I47" i="2" s="1"/>
  <c r="F44" i="2"/>
  <c r="F43" i="2"/>
  <c r="F42" i="2"/>
  <c r="F47" i="2"/>
  <c r="F62" i="2"/>
  <c r="F61" i="2"/>
  <c r="F59" i="2"/>
  <c r="F45" i="2"/>
  <c r="F58" i="2"/>
  <c r="F60" i="2"/>
  <c r="F46" i="2"/>
  <c r="F63" i="2"/>
  <c r="F65" i="2" l="1"/>
  <c r="L42" i="2"/>
  <c r="L43" i="2" s="1"/>
  <c r="L44" i="2" s="1"/>
  <c r="L45" i="2" s="1"/>
  <c r="L46" i="2" s="1"/>
  <c r="L47" i="2" s="1"/>
  <c r="F49" i="2"/>
  <c r="L58" i="2"/>
  <c r="L59" i="2" s="1"/>
  <c r="L60" i="2" s="1"/>
  <c r="L61" i="2" s="1"/>
  <c r="L62" i="2" s="1"/>
  <c r="L6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<sst xmlns="http://schemas.openxmlformats.org/spreadsheetml/2006/main" count="166" uniqueCount="96">
  <si>
    <t>Casino A</t>
  </si>
  <si>
    <t>Casino B</t>
  </si>
  <si>
    <r>
      <t>Consumo de bebidas</t>
    </r>
    <r>
      <rPr>
        <i/>
        <sz val="12"/>
        <color theme="1"/>
        <rFont val="Calibri"/>
        <family val="2"/>
        <scheme val="minor"/>
      </rPr>
      <t xml:space="preserve"> brancas</t>
    </r>
    <r>
      <rPr>
        <sz val="12"/>
        <color theme="1"/>
        <rFont val="Calibri"/>
        <family val="2"/>
        <scheme val="minor"/>
      </rPr>
      <t xml:space="preserve"> dos jogadores de Roleta</t>
    </r>
  </si>
  <si>
    <r>
      <t xml:space="preserve">Tempo de consumo de uma bebida </t>
    </r>
    <r>
      <rPr>
        <i/>
        <sz val="12"/>
        <color theme="1"/>
        <rFont val="Calibri"/>
        <family val="2"/>
        <scheme val="minor"/>
      </rPr>
      <t>branca</t>
    </r>
  </si>
  <si>
    <t>(a)</t>
  </si>
  <si>
    <t>X = "diferenças de consumo de bebidas brancas dos jogadores de roleta de dois casinos, por ida ao casino "</t>
  </si>
  <si>
    <t>(b)</t>
  </si>
  <si>
    <t>Total</t>
  </si>
  <si>
    <t>Frequência relativa</t>
  </si>
  <si>
    <t>Frequência absoluta ni</t>
  </si>
  <si>
    <t>Frequência acumulada absoluta Fi</t>
  </si>
  <si>
    <t>Frequência acumulada relativa Fri</t>
  </si>
  <si>
    <t>Frequência acumulada relativa Fi</t>
  </si>
  <si>
    <t>(c)</t>
  </si>
  <si>
    <t>(d)</t>
  </si>
  <si>
    <t>Média =</t>
  </si>
  <si>
    <t>Mediana =</t>
  </si>
  <si>
    <t>Moda =</t>
  </si>
  <si>
    <t>(e)</t>
  </si>
  <si>
    <t>Num. de bebidas Casino A</t>
  </si>
  <si>
    <t>Num. de bebidas Casino B</t>
  </si>
  <si>
    <t>25%  das bebidas</t>
  </si>
  <si>
    <t>(f)</t>
  </si>
  <si>
    <t>(g)</t>
  </si>
  <si>
    <t>(h)</t>
  </si>
  <si>
    <t xml:space="preserve">Variância </t>
  </si>
  <si>
    <t xml:space="preserve">Desvio-Padrão </t>
  </si>
  <si>
    <t>Variância</t>
  </si>
  <si>
    <t>Desvio-Padrão</t>
  </si>
  <si>
    <t>Auxiliar de Simetria</t>
  </si>
  <si>
    <t xml:space="preserve">Simetria = </t>
  </si>
  <si>
    <t>a)</t>
  </si>
  <si>
    <t>X = "tempo que um jogador de roleta demora a consumir uma bebida branca em cada um dos dois casinos."</t>
  </si>
  <si>
    <t>b)</t>
  </si>
  <si>
    <t>c)</t>
  </si>
  <si>
    <t>d)</t>
  </si>
  <si>
    <t>fi*xi</t>
  </si>
  <si>
    <t>∑fi*xi=</t>
  </si>
  <si>
    <t>Coeficiente de Variação</t>
  </si>
  <si>
    <t>Média</t>
  </si>
  <si>
    <t>R: Concluimos que no Casino A temos maior dispersão de dados em relação ao Casino B.</t>
  </si>
  <si>
    <t>Auxiliar de Assimetria</t>
  </si>
  <si>
    <t>Auxiliar de Curtose</t>
  </si>
  <si>
    <t>Coe. Curtose=</t>
  </si>
  <si>
    <t>Coe. Assimetria=</t>
  </si>
  <si>
    <t>Total=</t>
  </si>
  <si>
    <t>R: Dentro dos intervalos o número de jogadores do casino A é 132 e do casino B é 104.</t>
  </si>
  <si>
    <t>x - s</t>
  </si>
  <si>
    <t>x + s</t>
  </si>
  <si>
    <t>R: No casino A temos uma distribuição mais uniforme, enquanto que no casino B temos valores mais dispersos, embora em 4 dos 6 intervalos de distribuição do casino B temos valores maiores do que no casino A.</t>
  </si>
  <si>
    <t xml:space="preserve">Percentil = </t>
  </si>
  <si>
    <t>Num. Jog. que bebem + de 2 bebidas =</t>
  </si>
  <si>
    <t>média=</t>
  </si>
  <si>
    <t>IC95%=</t>
  </si>
  <si>
    <t>]</t>
  </si>
  <si>
    <t>desvio-padrão=</t>
  </si>
  <si>
    <t>[</t>
  </si>
  <si>
    <t>α=1-0,97=</t>
  </si>
  <si>
    <t>z0,95=</t>
  </si>
  <si>
    <t>R: Como o intervalo só apresenta valores positivos, podemos afirmar que a diferença entre as proporções de jogadores de roleta que consomem mais de 2 bebidas brancas nos dois casinos é significativa.</t>
  </si>
  <si>
    <t>variância=</t>
  </si>
  <si>
    <t>grau confiança =1-0,95=</t>
  </si>
  <si>
    <t xml:space="preserve">Zc=Φ^-1(1-a/2) = </t>
  </si>
  <si>
    <t>Δ =zc*(σ/Raiz(n)) =</t>
  </si>
  <si>
    <t>Cosiderando um intervalo de confiança de 95% para o Casino A,  o número médio de bebidas brancas consumidas estará entre os valores do intervalo abaixo representado:</t>
  </si>
  <si>
    <t>Cosiderando um intervalo de confiança de 95% para o Casino B,  o número médio de bebidas brancas consumidas estará entre os valores do intervalo abaixo representado:</t>
  </si>
  <si>
    <t>proporções=</t>
  </si>
  <si>
    <t>P ̂A -P ̂B ~N(pA - pB; (pAqA)/nA + (pBqB)/nB)</t>
  </si>
  <si>
    <t>Δ =zc*(Raiz((^PA*^QA)/nA) + (^PB*^QB)/nB) ) =</t>
  </si>
  <si>
    <t xml:space="preserve">zc = Φ^-1(1-a/2) = </t>
  </si>
  <si>
    <t xml:space="preserve">IC 97% (pA-pB) = </t>
  </si>
  <si>
    <t xml:space="preserve">]P ̂A-P ̂B-Δ;P ̂A-P ̂B+Δ[  </t>
  </si>
  <si>
    <t>IC 97% (pA-pB) =         ]</t>
  </si>
  <si>
    <t>;</t>
  </si>
  <si>
    <t>n=</t>
  </si>
  <si>
    <t>media=</t>
  </si>
  <si>
    <t xml:space="preserve">                  desvio-padrao=</t>
  </si>
  <si>
    <t>H0:</t>
  </si>
  <si>
    <t xml:space="preserve"> μ = 5,5</t>
  </si>
  <si>
    <t>H1:</t>
  </si>
  <si>
    <t xml:space="preserve"> μ &gt; 5,5</t>
  </si>
  <si>
    <t>a=</t>
  </si>
  <si>
    <t>zc=</t>
  </si>
  <si>
    <t>RC=]1,5548;+∞[</t>
  </si>
  <si>
    <t>zObservado=</t>
  </si>
  <si>
    <t>&gt;1,5548, logo temos de rejeitar a H0, sendo que com uma significância de 6% o tempo médio de consumo de bebidas é superior a 5.5 minutos.</t>
  </si>
  <si>
    <t>desvio=padrão=</t>
  </si>
  <si>
    <t xml:space="preserve"> μa-μb = 0</t>
  </si>
  <si>
    <r>
      <t xml:space="preserve"> μa-μb </t>
    </r>
    <r>
      <rPr>
        <sz val="12"/>
        <color theme="1"/>
        <rFont val="Calibri"/>
        <family val="2"/>
      </rPr>
      <t>≠</t>
    </r>
    <r>
      <rPr>
        <sz val="12"/>
        <color theme="1"/>
        <rFont val="Calibri"/>
        <family val="2"/>
        <scheme val="minor"/>
      </rPr>
      <t xml:space="preserve"> 0</t>
    </r>
  </si>
  <si>
    <t>RC=]-∞;-1,4051[ ∪ ]1,4051;+∞[</t>
  </si>
  <si>
    <t>&gt;1,4051, Logo temos de rejeitar H0, sendo que com uma significância de8% existe diferença na média de tempo de consumo de bebidas brancas entre so dois casinos.</t>
  </si>
  <si>
    <t>(i)</t>
  </si>
  <si>
    <t>No casin A verifica-se uma maior variação do número de bebidas brancas consumidas por cada jogador.</t>
  </si>
  <si>
    <t>No entanto, apesar de no casino B essa variação ser menor, a diferença entre as classes é menor.</t>
  </si>
  <si>
    <t xml:space="preserve"> Isto pode ser verificado tanto pela visualizção dos respetivos gráficos.</t>
  </si>
  <si>
    <t>Os coeficientes de assimetria de ambos são também diferentes, sendo que no casino A é um valor positivo e no casino B é negativo.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</si>
</sst>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10" borderId="5" applyNumberFormat="0" applyFont="0" applyAlignment="0" applyProtection="0"/>
  </cellStyleXfs>
  <cellXfs count="6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164" fontId="0" fillId="6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6" borderId="1" xfId="0" applyNumberFormat="1" applyFill="1" applyBorder="1"/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7" borderId="0" xfId="0" applyFill="1"/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6" borderId="1" xfId="1" applyNumberFormat="1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2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ormal" xfId="0" builtinId="0"/>
    <cellStyle name="Nota" xfId="2" builtinId="1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absoluta  Casino</a:t>
            </a:r>
            <a:r>
              <a:rPr lang="pt-PT" baseline="0"/>
              <a:t> 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'Exercício 1'!$D$40:$D$47</c:f>
              <c:numCache>
                <c:formatCode>General</c:formatCode>
                <c:ptCount val="8"/>
                <c:pt idx="0">
                  <c:v>15</c:v>
                </c:pt>
                <c:pt idx="1">
                  <c:v>22</c:v>
                </c:pt>
                <c:pt idx="2">
                  <c:v>33</c:v>
                </c:pt>
                <c:pt idx="3">
                  <c:v>19</c:v>
                </c:pt>
                <c:pt idx="4">
                  <c:v>27</c:v>
                </c:pt>
                <c:pt idx="5">
                  <c:v>26</c:v>
                </c:pt>
                <c:pt idx="6">
                  <c:v>27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3-4ADD-A536-4785B0B4EE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6787375"/>
        <c:axId val="1776785295"/>
      </c:barChart>
      <c:catAx>
        <c:axId val="1776787375"/>
        <c:scaling>
          <c:orientation val="minMax"/>
        </c:scaling>
        <c:delete val="1"/>
        <c:axPos val="b"/>
        <c:majorTickMark val="out"/>
        <c:minorTickMark val="none"/>
        <c:tickLblPos val="nextTo"/>
        <c:crossAx val="1776785295"/>
        <c:crosses val="autoZero"/>
        <c:auto val="1"/>
        <c:lblAlgn val="ctr"/>
        <c:lblOffset val="100"/>
        <c:noMultiLvlLbl val="0"/>
      </c:catAx>
      <c:valAx>
        <c:axId val="177678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678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relativa Casino A</a:t>
            </a:r>
          </a:p>
        </c:rich>
      </c:tx>
      <c:layout>
        <c:manualLayout>
          <c:xMode val="edge"/>
          <c:yMode val="edge"/>
          <c:x val="0.26285141288445418"/>
          <c:y val="3.6985742635829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'Exercício 1'!$F$40:$F$47</c:f>
              <c:numCache>
                <c:formatCode>General</c:formatCode>
                <c:ptCount val="8"/>
                <c:pt idx="0">
                  <c:v>7.4999999999999997E-2</c:v>
                </c:pt>
                <c:pt idx="1">
                  <c:v>0.11</c:v>
                </c:pt>
                <c:pt idx="2">
                  <c:v>0.16500000000000001</c:v>
                </c:pt>
                <c:pt idx="3">
                  <c:v>9.5000000000000001E-2</c:v>
                </c:pt>
                <c:pt idx="4">
                  <c:v>0.13500000000000001</c:v>
                </c:pt>
                <c:pt idx="5">
                  <c:v>0.13</c:v>
                </c:pt>
                <c:pt idx="6">
                  <c:v>0.13500000000000001</c:v>
                </c:pt>
                <c:pt idx="7">
                  <c:v>0.155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B-4E28-9733-7CFB8115C8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5761071"/>
        <c:axId val="1775758159"/>
      </c:barChart>
      <c:catAx>
        <c:axId val="1775761071"/>
        <c:scaling>
          <c:orientation val="minMax"/>
        </c:scaling>
        <c:delete val="1"/>
        <c:axPos val="b"/>
        <c:majorTickMark val="none"/>
        <c:minorTickMark val="none"/>
        <c:tickLblPos val="nextTo"/>
        <c:crossAx val="1775758159"/>
        <c:crosses val="autoZero"/>
        <c:auto val="1"/>
        <c:lblAlgn val="ctr"/>
        <c:lblOffset val="100"/>
        <c:noMultiLvlLbl val="0"/>
      </c:catAx>
      <c:valAx>
        <c:axId val="17757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576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absoluta Casino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'Exercício 1'!$D$56:$D$63</c:f>
              <c:numCache>
                <c:formatCode>General</c:formatCode>
                <c:ptCount val="8"/>
                <c:pt idx="0">
                  <c:v>21</c:v>
                </c:pt>
                <c:pt idx="1">
                  <c:v>27</c:v>
                </c:pt>
                <c:pt idx="2">
                  <c:v>31</c:v>
                </c:pt>
                <c:pt idx="3">
                  <c:v>25</c:v>
                </c:pt>
                <c:pt idx="4">
                  <c:v>21</c:v>
                </c:pt>
                <c:pt idx="5">
                  <c:v>27</c:v>
                </c:pt>
                <c:pt idx="6">
                  <c:v>27</c:v>
                </c:pt>
                <c:pt idx="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6-440F-B909-61433CB25F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5840607"/>
        <c:axId val="1365839359"/>
      </c:barChart>
      <c:catAx>
        <c:axId val="1365840607"/>
        <c:scaling>
          <c:orientation val="minMax"/>
        </c:scaling>
        <c:delete val="1"/>
        <c:axPos val="b"/>
        <c:majorTickMark val="none"/>
        <c:minorTickMark val="none"/>
        <c:tickLblPos val="nextTo"/>
        <c:crossAx val="1365839359"/>
        <c:crosses val="autoZero"/>
        <c:auto val="1"/>
        <c:lblAlgn val="ctr"/>
        <c:lblOffset val="100"/>
        <c:noMultiLvlLbl val="0"/>
      </c:catAx>
      <c:valAx>
        <c:axId val="136583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58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  relativa Casino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'Exercício 1'!$F$56:$F$63</c:f>
              <c:numCache>
                <c:formatCode>0.0000</c:formatCode>
                <c:ptCount val="8"/>
                <c:pt idx="0" formatCode="General">
                  <c:v>0.105</c:v>
                </c:pt>
                <c:pt idx="1">
                  <c:v>0.13500000000000001</c:v>
                </c:pt>
                <c:pt idx="2" formatCode="General">
                  <c:v>0.155</c:v>
                </c:pt>
                <c:pt idx="3" formatCode="General">
                  <c:v>0.125</c:v>
                </c:pt>
                <c:pt idx="4" formatCode="General">
                  <c:v>0.105</c:v>
                </c:pt>
                <c:pt idx="5" formatCode="General">
                  <c:v>0.13500000000000001</c:v>
                </c:pt>
                <c:pt idx="6" formatCode="General">
                  <c:v>0.13500000000000001</c:v>
                </c:pt>
                <c:pt idx="7" formatCode="General">
                  <c:v>0.105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A-439D-9A59-D1591E0165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3666303"/>
        <c:axId val="2003666719"/>
      </c:barChart>
      <c:catAx>
        <c:axId val="2003666303"/>
        <c:scaling>
          <c:orientation val="minMax"/>
        </c:scaling>
        <c:delete val="1"/>
        <c:axPos val="b"/>
        <c:majorTickMark val="none"/>
        <c:minorTickMark val="none"/>
        <c:tickLblPos val="nextTo"/>
        <c:crossAx val="2003666719"/>
        <c:crosses val="autoZero"/>
        <c:auto val="1"/>
        <c:lblAlgn val="ctr"/>
        <c:lblOffset val="100"/>
        <c:noMultiLvlLbl val="0"/>
      </c:catAx>
      <c:valAx>
        <c:axId val="20036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366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Casino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Casino A</a:t>
          </a:r>
        </a:p>
      </cx:txPr>
    </cx:title>
    <cx:plotArea>
      <cx:plotAreaRegion>
        <cx:series layoutId="clusteredColumn" uniqueId="{B59C1AA2-49BC-495F-8995-6DDFD4636AB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Casino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Casino B</a:t>
          </a:r>
        </a:p>
      </cx:txPr>
    </cx:title>
    <cx:plotArea>
      <cx:plotAreaRegion>
        <cx:series layoutId="clusteredColumn" uniqueId="{EF2210CF-7BFE-45D0-A275-B0FA6459B2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68580</xdr:rowOff>
    </xdr:from>
    <xdr:to>
      <xdr:col>8</xdr:col>
      <xdr:colOff>262890</xdr:colOff>
      <xdr:row>28</xdr:row>
      <xdr:rowOff>168448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37E593-C331-42D2-884D-504BA39F1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" y="68580"/>
          <a:ext cx="6377940" cy="5647228"/>
        </a:xfrm>
        <a:prstGeom prst="rect">
          <a:avLst/>
        </a:prstGeom>
      </xdr:spPr>
    </xdr:pic>
    <xdr:clientData/>
  </xdr:twoCellAnchor>
  <xdr:twoCellAnchor>
    <xdr:from>
      <xdr:col>2</xdr:col>
      <xdr:colOff>692467</xdr:colOff>
      <xdr:row>71</xdr:row>
      <xdr:rowOff>133350</xdr:rowOff>
    </xdr:from>
    <xdr:to>
      <xdr:col>7</xdr:col>
      <xdr:colOff>641032</xdr:colOff>
      <xdr:row>85</xdr:row>
      <xdr:rowOff>87630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7D20428-2B03-42DB-9A95-DFE89B9D5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705802</xdr:colOff>
      <xdr:row>87</xdr:row>
      <xdr:rowOff>129540</xdr:rowOff>
    </xdr:from>
    <xdr:to>
      <xdr:col>7</xdr:col>
      <xdr:colOff>658177</xdr:colOff>
      <xdr:row>101</xdr:row>
      <xdr:rowOff>62865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0A28490-5606-44F3-953B-8F0F8D515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606742</xdr:colOff>
      <xdr:row>71</xdr:row>
      <xdr:rowOff>116205</xdr:rowOff>
    </xdr:from>
    <xdr:to>
      <xdr:col>13</xdr:col>
      <xdr:colOff>31432</xdr:colOff>
      <xdr:row>85</xdr:row>
      <xdr:rowOff>66675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58E2FDD-3FCD-4E2D-BD3E-6617B05E2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639127</xdr:colOff>
      <xdr:row>87</xdr:row>
      <xdr:rowOff>123825</xdr:rowOff>
    </xdr:from>
    <xdr:to>
      <xdr:col>13</xdr:col>
      <xdr:colOff>65722</xdr:colOff>
      <xdr:row>101</xdr:row>
      <xdr:rowOff>64770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5F27269-671D-46F3-8092-E8E262C84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99060</xdr:rowOff>
    </xdr:from>
    <xdr:to>
      <xdr:col>9</xdr:col>
      <xdr:colOff>1632</xdr:colOff>
      <xdr:row>18</xdr:row>
      <xdr:rowOff>30480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DF9F2C9-9A6D-473A-B86D-2CE7C36A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" y="99060"/>
          <a:ext cx="6615792" cy="34975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7</xdr:col>
      <xdr:colOff>304800</xdr:colOff>
      <xdr:row>81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DFBEABDB-0837-4C99-B616-152E205B67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6880" y="13472160"/>
              <a:ext cx="4587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68</xdr:row>
      <xdr:rowOff>0</xdr:rowOff>
    </xdr:from>
    <xdr:to>
      <xdr:col>13</xdr:col>
      <xdr:colOff>304800</xdr:colOff>
      <xdr:row>81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394569C0-F8D6-432A-8611-4132A4FD0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2760" y="13472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</xdr:row>
      <xdr:rowOff>15240</xdr:rowOff>
    </xdr:from>
    <xdr:to>
      <xdr:col>9</xdr:col>
      <xdr:colOff>432618</xdr:colOff>
      <xdr:row>4</xdr:row>
      <xdr:rowOff>106680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97F9E2-2FBB-42BD-B561-3FD629D17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213360"/>
          <a:ext cx="7709718" cy="685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640080</xdr:colOff>
      <xdr:row>0</xdr:row>
      <xdr:rowOff>175260</xdr:rowOff>
    </xdr:from>
    <xdr:to>
      <xdr:col>9</xdr:col>
      <xdr:colOff>165560</xdr:colOff>
      <xdr:row>4</xdr:row>
      <xdr:rowOff>167640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BB506F-A90C-4078-9E5C-8F3B4A506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75260"/>
          <a:ext cx="7206440" cy="7848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0</xdr:row>
      <xdr:rowOff>152399</xdr:rowOff>
    </xdr:from>
    <xdr:to>
      <xdr:col>8</xdr:col>
      <xdr:colOff>556260</xdr:colOff>
      <xdr:row>4</xdr:row>
      <xdr:rowOff>122984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6C4DD8-965B-4F16-B1C4-4756BBC8A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52399"/>
          <a:ext cx="6720840" cy="7630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0</xdr:row>
      <xdr:rowOff>175260</xdr:rowOff>
    </xdr:from>
    <xdr:to>
      <xdr:col>8</xdr:col>
      <xdr:colOff>804289</xdr:colOff>
      <xdr:row>5</xdr:row>
      <xdr:rowOff>53340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52FB57-1AE5-445B-8779-67CCE2BA9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175260"/>
          <a:ext cx="7448929" cy="868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0D60-9EFE-8B41-843B-0184950ED969}">
  <dimension ref="A1:K202"/>
  <sheetViews>
    <sheetView topLeftCell="A10" workbookViewId="0">
      <selection activeCell="E141" sqref="E141"/>
    </sheetView>
  </sheetViews>
  <sheetFormatPr defaultColWidth="11.19921875" defaultRowHeight="15.6" x14ac:dyDescent="0.3"/>
  <cols>
    <col min="1" max="5" width="10.796875" style="3"/>
  </cols>
  <sheetData>
    <row r="1" spans="1:11" x14ac:dyDescent="0.3">
      <c r="A1" s="54" t="s">
        <v>2</v>
      </c>
      <c r="B1" s="54"/>
      <c r="C1" s="54"/>
      <c r="D1" s="54"/>
      <c r="E1" s="54"/>
      <c r="H1" s="4" t="s">
        <v>3</v>
      </c>
      <c r="I1" s="4"/>
      <c r="J1" s="4"/>
      <c r="K1" s="4"/>
    </row>
    <row r="2" spans="1:11" x14ac:dyDescent="0.3">
      <c r="A2" s="4"/>
      <c r="B2" s="4" t="s">
        <v>0</v>
      </c>
      <c r="C2" s="4" t="s">
        <v>1</v>
      </c>
      <c r="D2" s="4"/>
      <c r="E2" s="4"/>
      <c r="H2" s="4" t="s">
        <v>0</v>
      </c>
      <c r="I2" s="4" t="s">
        <v>1</v>
      </c>
      <c r="J2" s="4"/>
      <c r="K2" s="4"/>
    </row>
    <row r="3" spans="1:11" x14ac:dyDescent="0.3">
      <c r="B3" s="1">
        <v>1</v>
      </c>
      <c r="C3" s="1">
        <v>1</v>
      </c>
      <c r="H3" s="2">
        <v>11.71</v>
      </c>
      <c r="I3" s="2">
        <v>10.82</v>
      </c>
    </row>
    <row r="4" spans="1:11" x14ac:dyDescent="0.3">
      <c r="B4" s="1">
        <v>3</v>
      </c>
      <c r="C4" s="1">
        <v>7</v>
      </c>
      <c r="H4" s="2">
        <v>5.98</v>
      </c>
      <c r="I4" s="2">
        <v>9.27</v>
      </c>
    </row>
    <row r="5" spans="1:11" x14ac:dyDescent="0.3">
      <c r="B5" s="1">
        <v>1</v>
      </c>
      <c r="C5" s="1">
        <v>0</v>
      </c>
      <c r="H5" s="2">
        <v>19.190000000000001</v>
      </c>
      <c r="I5" s="2">
        <v>12.68</v>
      </c>
    </row>
    <row r="6" spans="1:11" x14ac:dyDescent="0.3">
      <c r="B6" s="1">
        <v>2</v>
      </c>
      <c r="C6" s="1">
        <v>1</v>
      </c>
      <c r="H6" s="2">
        <v>7.18</v>
      </c>
      <c r="I6" s="2">
        <v>10.199999999999999</v>
      </c>
    </row>
    <row r="7" spans="1:11" x14ac:dyDescent="0.3">
      <c r="B7" s="1">
        <v>4</v>
      </c>
      <c r="C7" s="1">
        <v>6</v>
      </c>
      <c r="H7" s="2">
        <v>12.92</v>
      </c>
      <c r="I7" s="2">
        <v>15.68</v>
      </c>
    </row>
    <row r="8" spans="1:11" x14ac:dyDescent="0.3">
      <c r="B8" s="1">
        <v>2</v>
      </c>
      <c r="C8" s="1">
        <v>4</v>
      </c>
      <c r="H8" s="2">
        <v>14.24</v>
      </c>
      <c r="I8" s="2">
        <v>17.97</v>
      </c>
    </row>
    <row r="9" spans="1:11" x14ac:dyDescent="0.3">
      <c r="B9" s="1">
        <v>4</v>
      </c>
      <c r="C9" s="1">
        <v>0</v>
      </c>
      <c r="H9" s="2">
        <v>14.09</v>
      </c>
      <c r="I9" s="2">
        <v>18.079999999999998</v>
      </c>
    </row>
    <row r="10" spans="1:11" x14ac:dyDescent="0.3">
      <c r="B10" s="1">
        <v>3</v>
      </c>
      <c r="C10" s="1">
        <v>0</v>
      </c>
      <c r="H10" s="2">
        <v>10.88</v>
      </c>
      <c r="I10" s="2">
        <v>12.95</v>
      </c>
    </row>
    <row r="11" spans="1:11" x14ac:dyDescent="0.3">
      <c r="B11" s="1">
        <v>7</v>
      </c>
      <c r="C11" s="1">
        <v>5</v>
      </c>
      <c r="H11" s="2">
        <v>15.88</v>
      </c>
      <c r="I11" s="2">
        <v>7.97</v>
      </c>
    </row>
    <row r="12" spans="1:11" x14ac:dyDescent="0.3">
      <c r="B12" s="1">
        <v>4</v>
      </c>
      <c r="C12" s="1">
        <v>5</v>
      </c>
      <c r="H12" s="2">
        <v>7.67</v>
      </c>
      <c r="I12" s="2">
        <v>12.790000000000001</v>
      </c>
    </row>
    <row r="13" spans="1:11" x14ac:dyDescent="0.3">
      <c r="B13" s="1">
        <v>7</v>
      </c>
      <c r="C13" s="1">
        <v>5</v>
      </c>
      <c r="H13" s="2">
        <v>14.99</v>
      </c>
      <c r="I13" s="2">
        <v>15.01</v>
      </c>
    </row>
    <row r="14" spans="1:11" x14ac:dyDescent="0.3">
      <c r="B14" s="1">
        <v>3</v>
      </c>
      <c r="C14" s="1">
        <v>3</v>
      </c>
      <c r="H14" s="2">
        <v>8.89</v>
      </c>
      <c r="I14" s="2">
        <v>11.4</v>
      </c>
    </row>
    <row r="15" spans="1:11" x14ac:dyDescent="0.3">
      <c r="B15" s="1">
        <v>0</v>
      </c>
      <c r="C15" s="1">
        <v>0</v>
      </c>
      <c r="H15" s="2">
        <v>18.86</v>
      </c>
      <c r="I15" s="2">
        <v>10.68</v>
      </c>
    </row>
    <row r="16" spans="1:11" x14ac:dyDescent="0.3">
      <c r="B16" s="1">
        <v>6</v>
      </c>
      <c r="C16" s="1">
        <v>3</v>
      </c>
      <c r="H16" s="2">
        <v>16.059999999999999</v>
      </c>
      <c r="I16" s="2">
        <v>7.74</v>
      </c>
    </row>
    <row r="17" spans="2:9" x14ac:dyDescent="0.3">
      <c r="B17" s="1">
        <v>5</v>
      </c>
      <c r="C17" s="1">
        <v>0</v>
      </c>
      <c r="H17" s="2">
        <v>6.8900000000000006</v>
      </c>
      <c r="I17" s="2">
        <v>12.77</v>
      </c>
    </row>
    <row r="18" spans="2:9" x14ac:dyDescent="0.3">
      <c r="B18" s="1">
        <v>6</v>
      </c>
      <c r="C18" s="1">
        <v>5</v>
      </c>
      <c r="H18" s="2">
        <v>7.16</v>
      </c>
      <c r="I18" s="2">
        <v>15.95</v>
      </c>
    </row>
    <row r="19" spans="2:9" x14ac:dyDescent="0.3">
      <c r="B19" s="1">
        <v>2</v>
      </c>
      <c r="C19" s="1">
        <v>5</v>
      </c>
      <c r="H19" s="2">
        <v>14.86</v>
      </c>
      <c r="I19" s="2">
        <v>8.74</v>
      </c>
    </row>
    <row r="20" spans="2:9" x14ac:dyDescent="0.3">
      <c r="B20" s="1">
        <v>5</v>
      </c>
      <c r="C20" s="1">
        <v>1</v>
      </c>
      <c r="H20" s="2">
        <v>12.7</v>
      </c>
      <c r="I20" s="2">
        <v>11.120000000000001</v>
      </c>
    </row>
    <row r="21" spans="2:9" x14ac:dyDescent="0.3">
      <c r="B21" s="1">
        <v>1</v>
      </c>
      <c r="C21" s="1">
        <v>0</v>
      </c>
      <c r="H21" s="2">
        <v>7.7200000000000006</v>
      </c>
      <c r="I21" s="2">
        <v>16.96</v>
      </c>
    </row>
    <row r="22" spans="2:9" x14ac:dyDescent="0.3">
      <c r="B22" s="1">
        <v>5</v>
      </c>
      <c r="C22" s="1">
        <v>2</v>
      </c>
      <c r="H22" s="2">
        <v>18.11</v>
      </c>
      <c r="I22" s="2">
        <v>12.02</v>
      </c>
    </row>
    <row r="23" spans="2:9" x14ac:dyDescent="0.3">
      <c r="B23" s="1">
        <v>1</v>
      </c>
      <c r="C23" s="1">
        <v>2</v>
      </c>
      <c r="H23" s="2">
        <v>5.86</v>
      </c>
      <c r="I23" s="2">
        <v>6.49</v>
      </c>
    </row>
    <row r="24" spans="2:9" x14ac:dyDescent="0.3">
      <c r="B24" s="1">
        <v>5</v>
      </c>
      <c r="C24" s="1">
        <v>2</v>
      </c>
      <c r="H24" s="2">
        <v>13.31</v>
      </c>
      <c r="I24" s="2">
        <v>14.78</v>
      </c>
    </row>
    <row r="25" spans="2:9" x14ac:dyDescent="0.3">
      <c r="B25" s="1">
        <v>2</v>
      </c>
      <c r="C25" s="1">
        <v>4</v>
      </c>
      <c r="H25" s="2">
        <v>10.98</v>
      </c>
      <c r="I25" s="2">
        <v>15.04</v>
      </c>
    </row>
    <row r="26" spans="2:9" x14ac:dyDescent="0.3">
      <c r="B26" s="1">
        <v>6</v>
      </c>
      <c r="C26" s="1">
        <v>4</v>
      </c>
      <c r="H26" s="2">
        <v>5.91</v>
      </c>
      <c r="I26" s="2">
        <v>17.82</v>
      </c>
    </row>
    <row r="27" spans="2:9" x14ac:dyDescent="0.3">
      <c r="B27" s="1">
        <v>7</v>
      </c>
      <c r="C27" s="1">
        <v>6</v>
      </c>
      <c r="H27" s="2">
        <v>13.870000000000001</v>
      </c>
      <c r="I27" s="2">
        <v>11.93</v>
      </c>
    </row>
    <row r="28" spans="2:9" x14ac:dyDescent="0.3">
      <c r="B28" s="1">
        <v>7</v>
      </c>
      <c r="C28" s="1">
        <v>4</v>
      </c>
      <c r="H28" s="2">
        <v>10.9</v>
      </c>
      <c r="I28" s="2">
        <v>16.96</v>
      </c>
    </row>
    <row r="29" spans="2:9" x14ac:dyDescent="0.3">
      <c r="B29" s="1">
        <v>6</v>
      </c>
      <c r="C29" s="1">
        <v>4</v>
      </c>
      <c r="H29" s="2">
        <v>9.6999999999999993</v>
      </c>
      <c r="I29" s="2">
        <v>15.44</v>
      </c>
    </row>
    <row r="30" spans="2:9" x14ac:dyDescent="0.3">
      <c r="B30" s="1">
        <v>7</v>
      </c>
      <c r="C30" s="1">
        <v>5</v>
      </c>
      <c r="H30" s="2">
        <v>11.370000000000001</v>
      </c>
      <c r="I30" s="2">
        <v>13.15</v>
      </c>
    </row>
    <row r="31" spans="2:9" x14ac:dyDescent="0.3">
      <c r="B31" s="1">
        <v>7</v>
      </c>
      <c r="C31" s="1">
        <v>0</v>
      </c>
      <c r="H31" s="2">
        <v>18.77</v>
      </c>
      <c r="I31" s="2">
        <v>14.08</v>
      </c>
    </row>
    <row r="32" spans="2:9" x14ac:dyDescent="0.3">
      <c r="B32" s="1">
        <v>6</v>
      </c>
      <c r="C32" s="1">
        <v>6</v>
      </c>
      <c r="H32" s="2">
        <v>16.23</v>
      </c>
      <c r="I32" s="2">
        <v>10.620000000000001</v>
      </c>
    </row>
    <row r="33" spans="2:9" x14ac:dyDescent="0.3">
      <c r="B33" s="1">
        <v>3</v>
      </c>
      <c r="C33" s="1">
        <v>4</v>
      </c>
      <c r="H33" s="2">
        <v>19.23</v>
      </c>
      <c r="I33" s="2">
        <v>8.6</v>
      </c>
    </row>
    <row r="34" spans="2:9" x14ac:dyDescent="0.3">
      <c r="B34" s="1">
        <v>6</v>
      </c>
      <c r="C34" s="1">
        <v>0</v>
      </c>
      <c r="H34" s="2">
        <v>12.72</v>
      </c>
      <c r="I34" s="2">
        <v>16.16</v>
      </c>
    </row>
    <row r="35" spans="2:9" x14ac:dyDescent="0.3">
      <c r="B35" s="1">
        <v>3</v>
      </c>
      <c r="C35" s="1">
        <v>1</v>
      </c>
      <c r="H35" s="2">
        <v>18.78</v>
      </c>
      <c r="I35" s="2">
        <v>7.98</v>
      </c>
    </row>
    <row r="36" spans="2:9" x14ac:dyDescent="0.3">
      <c r="B36" s="1">
        <v>4</v>
      </c>
      <c r="C36" s="1">
        <v>7</v>
      </c>
      <c r="H36" s="2">
        <v>19.05</v>
      </c>
      <c r="I36" s="2">
        <v>8.4600000000000009</v>
      </c>
    </row>
    <row r="37" spans="2:9" x14ac:dyDescent="0.3">
      <c r="B37" s="1">
        <v>5</v>
      </c>
      <c r="C37" s="1">
        <v>1</v>
      </c>
      <c r="H37" s="2">
        <v>19.54</v>
      </c>
      <c r="I37" s="2">
        <v>7.99</v>
      </c>
    </row>
    <row r="38" spans="2:9" x14ac:dyDescent="0.3">
      <c r="B38" s="1">
        <v>3</v>
      </c>
      <c r="C38" s="1">
        <v>2</v>
      </c>
      <c r="H38" s="2">
        <v>9.99</v>
      </c>
      <c r="I38" s="2">
        <v>8.8800000000000008</v>
      </c>
    </row>
    <row r="39" spans="2:9" x14ac:dyDescent="0.3">
      <c r="B39" s="1">
        <v>2</v>
      </c>
      <c r="C39" s="1">
        <v>6</v>
      </c>
      <c r="H39" s="2">
        <v>12.83</v>
      </c>
      <c r="I39" s="2">
        <v>7.01</v>
      </c>
    </row>
    <row r="40" spans="2:9" x14ac:dyDescent="0.3">
      <c r="B40" s="1">
        <v>5</v>
      </c>
      <c r="C40" s="1">
        <v>2</v>
      </c>
      <c r="H40" s="2">
        <v>14.24</v>
      </c>
      <c r="I40" s="2">
        <v>7.58</v>
      </c>
    </row>
    <row r="41" spans="2:9" x14ac:dyDescent="0.3">
      <c r="B41" s="1">
        <v>5</v>
      </c>
      <c r="C41" s="1">
        <v>3</v>
      </c>
      <c r="H41" s="2">
        <v>18.52</v>
      </c>
      <c r="I41" s="2">
        <v>15.43</v>
      </c>
    </row>
    <row r="42" spans="2:9" x14ac:dyDescent="0.3">
      <c r="B42" s="1">
        <v>1</v>
      </c>
      <c r="C42" s="1">
        <v>0</v>
      </c>
      <c r="H42" s="2">
        <v>17.149999999999999</v>
      </c>
      <c r="I42" s="2">
        <v>14.73</v>
      </c>
    </row>
    <row r="43" spans="2:9" x14ac:dyDescent="0.3">
      <c r="B43" s="1">
        <v>2</v>
      </c>
      <c r="C43" s="1">
        <v>7</v>
      </c>
      <c r="H43" s="2">
        <v>9.67</v>
      </c>
      <c r="I43" s="2">
        <v>12.91</v>
      </c>
    </row>
    <row r="44" spans="2:9" x14ac:dyDescent="0.3">
      <c r="B44" s="1">
        <v>5</v>
      </c>
      <c r="C44" s="1">
        <v>7</v>
      </c>
      <c r="H44" s="2">
        <v>17.05</v>
      </c>
      <c r="I44" s="2">
        <v>12.89</v>
      </c>
    </row>
    <row r="45" spans="2:9" x14ac:dyDescent="0.3">
      <c r="B45" s="1">
        <v>5</v>
      </c>
      <c r="C45" s="1">
        <v>6</v>
      </c>
      <c r="H45" s="2">
        <v>9.8800000000000008</v>
      </c>
      <c r="I45" s="2">
        <v>13.09</v>
      </c>
    </row>
    <row r="46" spans="2:9" x14ac:dyDescent="0.3">
      <c r="B46" s="1">
        <v>4</v>
      </c>
      <c r="C46" s="1">
        <v>2</v>
      </c>
      <c r="H46" s="2">
        <v>16.190000000000001</v>
      </c>
      <c r="I46" s="2">
        <v>8.8000000000000007</v>
      </c>
    </row>
    <row r="47" spans="2:9" x14ac:dyDescent="0.3">
      <c r="B47" s="1">
        <v>1</v>
      </c>
      <c r="C47" s="1">
        <v>1</v>
      </c>
      <c r="H47" s="2">
        <v>15.89</v>
      </c>
      <c r="I47" s="2">
        <v>8.4</v>
      </c>
    </row>
    <row r="48" spans="2:9" x14ac:dyDescent="0.3">
      <c r="B48" s="1">
        <v>7</v>
      </c>
      <c r="C48" s="1">
        <v>7</v>
      </c>
      <c r="H48" s="2">
        <v>12.95</v>
      </c>
      <c r="I48" s="2">
        <v>15.59</v>
      </c>
    </row>
    <row r="49" spans="2:9" x14ac:dyDescent="0.3">
      <c r="B49" s="1">
        <v>3</v>
      </c>
      <c r="C49" s="1">
        <v>1</v>
      </c>
      <c r="H49" s="2">
        <v>7.8900000000000006</v>
      </c>
      <c r="I49" s="2">
        <v>8.5</v>
      </c>
    </row>
    <row r="50" spans="2:9" x14ac:dyDescent="0.3">
      <c r="B50" s="1">
        <v>4</v>
      </c>
      <c r="C50" s="1">
        <v>5</v>
      </c>
      <c r="H50" s="2">
        <v>7.1</v>
      </c>
      <c r="I50" s="2">
        <v>10.72</v>
      </c>
    </row>
    <row r="51" spans="2:9" x14ac:dyDescent="0.3">
      <c r="B51" s="1">
        <v>1</v>
      </c>
      <c r="C51" s="1">
        <v>5</v>
      </c>
      <c r="H51" s="2">
        <v>11.99</v>
      </c>
      <c r="I51" s="2">
        <v>6.28</v>
      </c>
    </row>
    <row r="52" spans="2:9" x14ac:dyDescent="0.3">
      <c r="B52" s="1">
        <v>7</v>
      </c>
      <c r="C52" s="1">
        <v>1</v>
      </c>
      <c r="H52" s="2">
        <v>8.77</v>
      </c>
      <c r="I52" s="2">
        <v>13.04</v>
      </c>
    </row>
    <row r="53" spans="2:9" x14ac:dyDescent="0.3">
      <c r="B53" s="1">
        <v>6</v>
      </c>
      <c r="C53" s="1">
        <v>7</v>
      </c>
      <c r="H53" s="2">
        <v>10.84</v>
      </c>
      <c r="I53" s="2">
        <v>15.16</v>
      </c>
    </row>
    <row r="54" spans="2:9" x14ac:dyDescent="0.3">
      <c r="B54" s="1">
        <v>5</v>
      </c>
      <c r="C54" s="1">
        <v>7</v>
      </c>
      <c r="H54" s="2">
        <v>10.120000000000001</v>
      </c>
      <c r="I54" s="2">
        <v>11.85</v>
      </c>
    </row>
    <row r="55" spans="2:9" x14ac:dyDescent="0.3">
      <c r="B55" s="1">
        <v>6</v>
      </c>
      <c r="C55" s="1">
        <v>2</v>
      </c>
      <c r="H55" s="2">
        <v>11.86</v>
      </c>
      <c r="I55" s="2">
        <v>13.86</v>
      </c>
    </row>
    <row r="56" spans="2:9" x14ac:dyDescent="0.3">
      <c r="B56" s="1">
        <v>4</v>
      </c>
      <c r="C56" s="1">
        <v>0</v>
      </c>
      <c r="H56" s="2">
        <v>8.84</v>
      </c>
      <c r="I56" s="2">
        <v>11.67</v>
      </c>
    </row>
    <row r="57" spans="2:9" x14ac:dyDescent="0.3">
      <c r="B57" s="1">
        <v>5</v>
      </c>
      <c r="C57" s="1">
        <v>3</v>
      </c>
      <c r="H57" s="2">
        <v>19.240000000000002</v>
      </c>
      <c r="I57" s="2">
        <v>14.28</v>
      </c>
    </row>
    <row r="58" spans="2:9" x14ac:dyDescent="0.3">
      <c r="B58" s="1">
        <v>6</v>
      </c>
      <c r="C58" s="1">
        <v>6</v>
      </c>
      <c r="H58" s="2">
        <v>13.66</v>
      </c>
      <c r="I58" s="2">
        <v>18.690000000000001</v>
      </c>
    </row>
    <row r="59" spans="2:9" x14ac:dyDescent="0.3">
      <c r="B59" s="1">
        <v>7</v>
      </c>
      <c r="C59" s="1">
        <v>6</v>
      </c>
      <c r="H59" s="2">
        <v>14.03</v>
      </c>
      <c r="I59" s="2">
        <v>6.99</v>
      </c>
    </row>
    <row r="60" spans="2:9" x14ac:dyDescent="0.3">
      <c r="B60" s="1">
        <v>2</v>
      </c>
      <c r="C60" s="1">
        <v>4</v>
      </c>
      <c r="H60" s="2">
        <v>20.12</v>
      </c>
      <c r="I60" s="2">
        <v>6.2700000000000005</v>
      </c>
    </row>
    <row r="61" spans="2:9" x14ac:dyDescent="0.3">
      <c r="B61" s="1">
        <v>7</v>
      </c>
      <c r="C61" s="1">
        <v>5</v>
      </c>
      <c r="H61" s="2">
        <v>17.84</v>
      </c>
      <c r="I61" s="2">
        <v>9.77</v>
      </c>
    </row>
    <row r="62" spans="2:9" x14ac:dyDescent="0.3">
      <c r="B62" s="1">
        <v>5</v>
      </c>
      <c r="C62" s="1">
        <v>5</v>
      </c>
      <c r="H62" s="2">
        <v>15.85</v>
      </c>
      <c r="I62" s="2">
        <v>17.079999999999998</v>
      </c>
    </row>
    <row r="63" spans="2:9" x14ac:dyDescent="0.3">
      <c r="B63" s="1">
        <v>4</v>
      </c>
      <c r="C63" s="1">
        <v>0</v>
      </c>
      <c r="H63" s="2">
        <v>10.73</v>
      </c>
      <c r="I63" s="2">
        <v>11.86</v>
      </c>
    </row>
    <row r="64" spans="2:9" x14ac:dyDescent="0.3">
      <c r="B64" s="1">
        <v>7</v>
      </c>
      <c r="C64" s="1">
        <v>1</v>
      </c>
      <c r="H64" s="2">
        <v>8.16</v>
      </c>
      <c r="I64" s="2">
        <v>18.690000000000001</v>
      </c>
    </row>
    <row r="65" spans="2:9" x14ac:dyDescent="0.3">
      <c r="B65" s="1">
        <v>2</v>
      </c>
      <c r="C65" s="1">
        <v>4</v>
      </c>
      <c r="H65" s="2">
        <v>13.75</v>
      </c>
      <c r="I65" s="2">
        <v>13.84</v>
      </c>
    </row>
    <row r="66" spans="2:9" x14ac:dyDescent="0.3">
      <c r="B66" s="1">
        <v>4</v>
      </c>
      <c r="C66" s="1">
        <v>6</v>
      </c>
      <c r="H66" s="2">
        <v>6.75</v>
      </c>
      <c r="I66" s="2">
        <v>18.02</v>
      </c>
    </row>
    <row r="67" spans="2:9" x14ac:dyDescent="0.3">
      <c r="B67" s="1">
        <v>5</v>
      </c>
      <c r="C67" s="1">
        <v>3</v>
      </c>
      <c r="H67" s="2">
        <v>15.39</v>
      </c>
      <c r="I67" s="2">
        <v>17.670000000000002</v>
      </c>
    </row>
    <row r="68" spans="2:9" x14ac:dyDescent="0.3">
      <c r="B68" s="1">
        <v>5</v>
      </c>
      <c r="C68" s="1">
        <v>3</v>
      </c>
      <c r="H68" s="2">
        <v>12.67</v>
      </c>
      <c r="I68" s="2">
        <v>12.32</v>
      </c>
    </row>
    <row r="69" spans="2:9" x14ac:dyDescent="0.3">
      <c r="B69" s="1">
        <v>7</v>
      </c>
      <c r="C69" s="1">
        <v>5</v>
      </c>
      <c r="H69" s="2">
        <v>8.0300000000000011</v>
      </c>
      <c r="I69" s="2">
        <v>17.66</v>
      </c>
    </row>
    <row r="70" spans="2:9" x14ac:dyDescent="0.3">
      <c r="B70" s="1">
        <v>5</v>
      </c>
      <c r="C70" s="1">
        <v>4</v>
      </c>
      <c r="H70" s="2">
        <v>19.53</v>
      </c>
      <c r="I70" s="2">
        <v>13.78</v>
      </c>
    </row>
    <row r="71" spans="2:9" x14ac:dyDescent="0.3">
      <c r="B71" s="1">
        <v>6</v>
      </c>
      <c r="C71" s="1">
        <v>5</v>
      </c>
      <c r="H71" s="2">
        <v>18.240000000000002</v>
      </c>
      <c r="I71" s="2">
        <v>17.8</v>
      </c>
    </row>
    <row r="72" spans="2:9" x14ac:dyDescent="0.3">
      <c r="B72" s="1">
        <v>3</v>
      </c>
      <c r="C72" s="1">
        <v>1</v>
      </c>
      <c r="H72" s="2">
        <v>8.84</v>
      </c>
      <c r="I72" s="2">
        <v>6.8900000000000006</v>
      </c>
    </row>
    <row r="73" spans="2:9" x14ac:dyDescent="0.3">
      <c r="B73" s="1">
        <v>6</v>
      </c>
      <c r="C73" s="1">
        <v>1</v>
      </c>
      <c r="H73" s="2">
        <v>6.88</v>
      </c>
      <c r="I73" s="2">
        <v>10.93</v>
      </c>
    </row>
    <row r="74" spans="2:9" x14ac:dyDescent="0.3">
      <c r="B74" s="1">
        <v>6</v>
      </c>
      <c r="C74" s="1">
        <v>1</v>
      </c>
      <c r="H74" s="2">
        <v>11.97</v>
      </c>
      <c r="I74" s="2">
        <v>11.73</v>
      </c>
    </row>
    <row r="75" spans="2:9" x14ac:dyDescent="0.3">
      <c r="B75" s="1">
        <v>7</v>
      </c>
      <c r="C75" s="1">
        <v>4</v>
      </c>
      <c r="H75" s="2">
        <v>11.79</v>
      </c>
      <c r="I75" s="2">
        <v>19.09</v>
      </c>
    </row>
    <row r="76" spans="2:9" x14ac:dyDescent="0.3">
      <c r="B76" s="1">
        <v>2</v>
      </c>
      <c r="C76" s="1">
        <v>3</v>
      </c>
      <c r="H76" s="2">
        <v>12.82</v>
      </c>
      <c r="I76" s="2">
        <v>14.81</v>
      </c>
    </row>
    <row r="77" spans="2:9" x14ac:dyDescent="0.3">
      <c r="B77" s="1">
        <v>5</v>
      </c>
      <c r="C77" s="1">
        <v>5</v>
      </c>
      <c r="H77" s="2">
        <v>13.29</v>
      </c>
      <c r="I77" s="2">
        <v>9.61</v>
      </c>
    </row>
    <row r="78" spans="2:9" x14ac:dyDescent="0.3">
      <c r="B78" s="1">
        <v>4</v>
      </c>
      <c r="C78" s="1">
        <v>6</v>
      </c>
      <c r="H78" s="2">
        <v>17.98</v>
      </c>
      <c r="I78" s="2">
        <v>10.56</v>
      </c>
    </row>
    <row r="79" spans="2:9" x14ac:dyDescent="0.3">
      <c r="B79" s="1">
        <v>7</v>
      </c>
      <c r="C79" s="1">
        <v>2</v>
      </c>
      <c r="H79" s="2">
        <v>10.120000000000001</v>
      </c>
      <c r="I79" s="2">
        <v>11.67</v>
      </c>
    </row>
    <row r="80" spans="2:9" x14ac:dyDescent="0.3">
      <c r="B80" s="1">
        <v>1</v>
      </c>
      <c r="C80" s="1">
        <v>6</v>
      </c>
      <c r="H80" s="2">
        <v>17.82</v>
      </c>
      <c r="I80" s="2">
        <v>10.98</v>
      </c>
    </row>
    <row r="81" spans="2:9" x14ac:dyDescent="0.3">
      <c r="B81" s="1">
        <v>2</v>
      </c>
      <c r="C81" s="1">
        <v>3</v>
      </c>
      <c r="H81" s="2">
        <v>16.87</v>
      </c>
      <c r="I81" s="2">
        <v>13.73</v>
      </c>
    </row>
    <row r="82" spans="2:9" x14ac:dyDescent="0.3">
      <c r="B82" s="1">
        <v>0</v>
      </c>
      <c r="C82" s="1">
        <v>5</v>
      </c>
      <c r="H82" s="2">
        <v>7.13</v>
      </c>
      <c r="I82" s="2">
        <v>12.28</v>
      </c>
    </row>
    <row r="83" spans="2:9" x14ac:dyDescent="0.3">
      <c r="B83" s="1">
        <v>6</v>
      </c>
      <c r="C83" s="1">
        <v>5</v>
      </c>
      <c r="H83" s="2">
        <v>14.44</v>
      </c>
      <c r="I83" s="2">
        <v>6.4399999999999995</v>
      </c>
    </row>
    <row r="84" spans="2:9" x14ac:dyDescent="0.3">
      <c r="B84" s="1">
        <v>4</v>
      </c>
      <c r="C84" s="1">
        <v>6</v>
      </c>
      <c r="H84" s="2">
        <v>6.87</v>
      </c>
      <c r="I84" s="2">
        <v>12.17</v>
      </c>
    </row>
    <row r="85" spans="2:9" x14ac:dyDescent="0.3">
      <c r="B85" s="1">
        <v>5</v>
      </c>
      <c r="C85" s="1">
        <v>3</v>
      </c>
      <c r="H85" s="2">
        <v>14.89</v>
      </c>
      <c r="I85" s="2">
        <v>10.220000000000001</v>
      </c>
    </row>
    <row r="86" spans="2:9" x14ac:dyDescent="0.3">
      <c r="B86" s="1">
        <v>1</v>
      </c>
      <c r="C86" s="1">
        <v>6</v>
      </c>
      <c r="H86" s="2">
        <v>16.27</v>
      </c>
      <c r="I86" s="2">
        <v>13.870000000000001</v>
      </c>
    </row>
    <row r="87" spans="2:9" x14ac:dyDescent="0.3">
      <c r="B87" s="1">
        <v>7</v>
      </c>
      <c r="C87" s="1">
        <v>5</v>
      </c>
      <c r="H87" s="2">
        <v>9.1</v>
      </c>
      <c r="I87" s="2">
        <v>17.03</v>
      </c>
    </row>
    <row r="88" spans="2:9" x14ac:dyDescent="0.3">
      <c r="B88" s="1">
        <v>2</v>
      </c>
      <c r="C88" s="1">
        <v>3</v>
      </c>
      <c r="H88" s="2">
        <v>6.66</v>
      </c>
      <c r="I88" s="2">
        <v>13.870000000000001</v>
      </c>
    </row>
    <row r="89" spans="2:9" x14ac:dyDescent="0.3">
      <c r="B89" s="1">
        <v>1</v>
      </c>
      <c r="C89" s="1">
        <v>4</v>
      </c>
      <c r="H89" s="2">
        <v>17.059999999999999</v>
      </c>
      <c r="I89" s="2">
        <v>13.870000000000001</v>
      </c>
    </row>
    <row r="90" spans="2:9" x14ac:dyDescent="0.3">
      <c r="B90" s="1">
        <v>6</v>
      </c>
      <c r="C90" s="1">
        <v>0</v>
      </c>
      <c r="H90" s="2">
        <v>18.850000000000001</v>
      </c>
      <c r="I90" s="2">
        <v>11.39</v>
      </c>
    </row>
    <row r="91" spans="2:9" x14ac:dyDescent="0.3">
      <c r="B91" s="1">
        <v>1</v>
      </c>
      <c r="C91" s="1">
        <v>2</v>
      </c>
      <c r="H91" s="2">
        <v>14.75</v>
      </c>
      <c r="I91" s="2">
        <v>10.51</v>
      </c>
    </row>
    <row r="92" spans="2:9" x14ac:dyDescent="0.3">
      <c r="B92" s="1">
        <v>7</v>
      </c>
      <c r="C92" s="1">
        <v>5</v>
      </c>
      <c r="H92" s="2">
        <v>18.38</v>
      </c>
      <c r="I92" s="2">
        <v>11.48</v>
      </c>
    </row>
    <row r="93" spans="2:9" x14ac:dyDescent="0.3">
      <c r="B93" s="1">
        <v>0</v>
      </c>
      <c r="C93" s="1">
        <v>0</v>
      </c>
      <c r="H93" s="2">
        <v>6.09</v>
      </c>
      <c r="I93" s="2">
        <v>11.94</v>
      </c>
    </row>
    <row r="94" spans="2:9" x14ac:dyDescent="0.3">
      <c r="B94" s="1">
        <v>1</v>
      </c>
      <c r="C94" s="1">
        <v>0</v>
      </c>
      <c r="H94" s="2">
        <v>9</v>
      </c>
      <c r="I94" s="2">
        <v>16.059999999999999</v>
      </c>
    </row>
    <row r="95" spans="2:9" x14ac:dyDescent="0.3">
      <c r="B95" s="1">
        <v>7</v>
      </c>
      <c r="C95" s="1">
        <v>7</v>
      </c>
      <c r="H95" s="2">
        <v>12.97</v>
      </c>
      <c r="I95" s="2">
        <v>10.49</v>
      </c>
    </row>
    <row r="96" spans="2:9" x14ac:dyDescent="0.3">
      <c r="B96" s="1">
        <v>6</v>
      </c>
      <c r="C96" s="1">
        <v>7</v>
      </c>
      <c r="H96" s="2">
        <v>17.89</v>
      </c>
      <c r="I96" s="2">
        <v>18.32</v>
      </c>
    </row>
    <row r="97" spans="2:9" x14ac:dyDescent="0.3">
      <c r="B97" s="1">
        <v>5</v>
      </c>
      <c r="C97" s="1">
        <v>6</v>
      </c>
      <c r="H97" s="2">
        <v>7.26</v>
      </c>
      <c r="I97" s="2">
        <v>7.88</v>
      </c>
    </row>
    <row r="98" spans="2:9" x14ac:dyDescent="0.3">
      <c r="B98" s="1">
        <v>2</v>
      </c>
      <c r="C98" s="1">
        <v>4</v>
      </c>
      <c r="H98" s="2">
        <v>17.559999999999999</v>
      </c>
      <c r="I98" s="2">
        <v>9.76</v>
      </c>
    </row>
    <row r="99" spans="2:9" x14ac:dyDescent="0.3">
      <c r="B99" s="1">
        <v>5</v>
      </c>
      <c r="C99" s="1">
        <v>3</v>
      </c>
      <c r="H99" s="2">
        <v>6.73</v>
      </c>
      <c r="I99" s="2">
        <v>13.8</v>
      </c>
    </row>
    <row r="100" spans="2:9" x14ac:dyDescent="0.3">
      <c r="B100" s="1">
        <v>3</v>
      </c>
      <c r="C100" s="1">
        <v>6</v>
      </c>
      <c r="H100" s="2">
        <v>6.71</v>
      </c>
      <c r="I100" s="2">
        <v>8.18</v>
      </c>
    </row>
    <row r="101" spans="2:9" x14ac:dyDescent="0.3">
      <c r="B101" s="1">
        <v>4</v>
      </c>
      <c r="C101" s="1">
        <v>1</v>
      </c>
      <c r="H101" s="2">
        <v>11.99</v>
      </c>
      <c r="I101" s="2">
        <v>12.76</v>
      </c>
    </row>
    <row r="102" spans="2:9" x14ac:dyDescent="0.3">
      <c r="B102" s="1">
        <v>3</v>
      </c>
      <c r="C102" s="1">
        <v>3</v>
      </c>
      <c r="H102" s="2">
        <v>8.0299999999999994</v>
      </c>
      <c r="I102" s="2">
        <v>13.030000000000001</v>
      </c>
    </row>
    <row r="103" spans="2:9" x14ac:dyDescent="0.3">
      <c r="B103" s="1">
        <v>4</v>
      </c>
      <c r="C103" s="1">
        <v>3</v>
      </c>
      <c r="H103" s="2">
        <v>9.56</v>
      </c>
      <c r="I103" s="2">
        <v>18.05</v>
      </c>
    </row>
    <row r="104" spans="2:9" x14ac:dyDescent="0.3">
      <c r="B104" s="1">
        <v>1</v>
      </c>
      <c r="C104" s="1">
        <v>7</v>
      </c>
      <c r="H104" s="2">
        <v>16.55</v>
      </c>
      <c r="I104" s="2">
        <v>7.43</v>
      </c>
    </row>
    <row r="105" spans="2:9" x14ac:dyDescent="0.3">
      <c r="B105" s="1">
        <v>2</v>
      </c>
      <c r="C105" s="1">
        <v>3</v>
      </c>
      <c r="H105" s="2">
        <v>16.04</v>
      </c>
      <c r="I105" s="2">
        <v>7.71</v>
      </c>
    </row>
    <row r="106" spans="2:9" x14ac:dyDescent="0.3">
      <c r="B106" s="1">
        <v>2</v>
      </c>
      <c r="C106" s="1">
        <v>6</v>
      </c>
      <c r="H106" s="2">
        <v>17.420000000000002</v>
      </c>
      <c r="I106" s="2">
        <v>7.32</v>
      </c>
    </row>
    <row r="107" spans="2:9" x14ac:dyDescent="0.3">
      <c r="B107" s="1">
        <v>7</v>
      </c>
      <c r="C107" s="1">
        <v>6</v>
      </c>
      <c r="H107" s="2">
        <v>16.25</v>
      </c>
      <c r="I107" s="2">
        <v>6.1</v>
      </c>
    </row>
    <row r="108" spans="2:9" x14ac:dyDescent="0.3">
      <c r="B108" s="1">
        <v>2</v>
      </c>
      <c r="C108" s="1">
        <v>7</v>
      </c>
      <c r="H108" s="2">
        <v>14.17</v>
      </c>
      <c r="I108" s="2">
        <v>11.81</v>
      </c>
    </row>
    <row r="109" spans="2:9" x14ac:dyDescent="0.3">
      <c r="B109" s="1">
        <v>1</v>
      </c>
      <c r="C109" s="1">
        <v>2</v>
      </c>
      <c r="H109" s="2">
        <v>16.73</v>
      </c>
      <c r="I109" s="2">
        <v>11.32</v>
      </c>
    </row>
    <row r="110" spans="2:9" x14ac:dyDescent="0.3">
      <c r="B110" s="1">
        <v>0</v>
      </c>
      <c r="C110" s="1">
        <v>5</v>
      </c>
      <c r="H110" s="2">
        <v>16.91</v>
      </c>
      <c r="I110" s="2">
        <v>18.27</v>
      </c>
    </row>
    <row r="111" spans="2:9" x14ac:dyDescent="0.3">
      <c r="B111" s="1">
        <v>2</v>
      </c>
      <c r="C111" s="1">
        <v>2</v>
      </c>
      <c r="H111" s="2">
        <v>15.76</v>
      </c>
      <c r="I111" s="2">
        <v>7.48</v>
      </c>
    </row>
    <row r="112" spans="2:9" x14ac:dyDescent="0.3">
      <c r="B112" s="1">
        <v>7</v>
      </c>
      <c r="C112" s="1">
        <v>6</v>
      </c>
      <c r="H112" s="2">
        <v>8.2900000000000009</v>
      </c>
      <c r="I112" s="2">
        <v>6.76</v>
      </c>
    </row>
    <row r="113" spans="2:9" x14ac:dyDescent="0.3">
      <c r="B113" s="1">
        <v>3</v>
      </c>
      <c r="C113" s="1">
        <v>7</v>
      </c>
      <c r="H113" s="2">
        <v>10.57</v>
      </c>
      <c r="I113" s="2">
        <v>10.86</v>
      </c>
    </row>
    <row r="114" spans="2:9" x14ac:dyDescent="0.3">
      <c r="B114" s="1">
        <v>0</v>
      </c>
      <c r="C114" s="1">
        <v>7</v>
      </c>
      <c r="H114" s="2">
        <v>17.07</v>
      </c>
      <c r="I114" s="2">
        <v>8.7800000000000011</v>
      </c>
    </row>
    <row r="115" spans="2:9" x14ac:dyDescent="0.3">
      <c r="B115" s="1">
        <v>6</v>
      </c>
      <c r="C115" s="1">
        <v>4</v>
      </c>
      <c r="H115" s="2">
        <v>9.9</v>
      </c>
      <c r="I115" s="2">
        <v>15.28</v>
      </c>
    </row>
    <row r="116" spans="2:9" x14ac:dyDescent="0.3">
      <c r="B116" s="1">
        <v>6</v>
      </c>
      <c r="C116" s="1">
        <v>4</v>
      </c>
      <c r="H116" s="2">
        <v>8.09</v>
      </c>
      <c r="I116" s="2">
        <v>11.33</v>
      </c>
    </row>
    <row r="117" spans="2:9" x14ac:dyDescent="0.3">
      <c r="B117" s="1">
        <v>0</v>
      </c>
      <c r="C117" s="1">
        <v>4</v>
      </c>
      <c r="H117" s="2">
        <v>18.989999999999998</v>
      </c>
      <c r="I117" s="2">
        <v>9.02</v>
      </c>
    </row>
    <row r="118" spans="2:9" x14ac:dyDescent="0.3">
      <c r="B118" s="1">
        <v>1</v>
      </c>
      <c r="C118" s="1">
        <v>1</v>
      </c>
      <c r="H118" s="2">
        <v>19.88</v>
      </c>
      <c r="I118" s="2">
        <v>12.78</v>
      </c>
    </row>
    <row r="119" spans="2:9" x14ac:dyDescent="0.3">
      <c r="B119" s="1">
        <v>3</v>
      </c>
      <c r="C119" s="1">
        <v>3</v>
      </c>
      <c r="H119" s="2">
        <v>7.33</v>
      </c>
      <c r="I119" s="2">
        <v>6.37</v>
      </c>
    </row>
    <row r="120" spans="2:9" x14ac:dyDescent="0.3">
      <c r="B120" s="1">
        <v>0</v>
      </c>
      <c r="C120" s="1">
        <v>1</v>
      </c>
      <c r="H120" s="2">
        <v>8.98</v>
      </c>
      <c r="I120" s="2">
        <v>14.99</v>
      </c>
    </row>
    <row r="121" spans="2:9" x14ac:dyDescent="0.3">
      <c r="B121" s="1">
        <v>4</v>
      </c>
      <c r="C121" s="1">
        <v>5</v>
      </c>
      <c r="H121" s="2">
        <v>8.370000000000001</v>
      </c>
      <c r="I121" s="2">
        <v>17.36</v>
      </c>
    </row>
    <row r="122" spans="2:9" x14ac:dyDescent="0.3">
      <c r="B122" s="1">
        <v>7</v>
      </c>
      <c r="C122" s="1">
        <v>1</v>
      </c>
      <c r="H122" s="2">
        <v>10.77</v>
      </c>
      <c r="I122" s="2">
        <v>10.870000000000001</v>
      </c>
    </row>
    <row r="123" spans="2:9" x14ac:dyDescent="0.3">
      <c r="B123" s="1">
        <v>6</v>
      </c>
      <c r="C123" s="1">
        <v>5</v>
      </c>
      <c r="H123" s="2"/>
      <c r="I123" s="2">
        <v>6.95</v>
      </c>
    </row>
    <row r="124" spans="2:9" x14ac:dyDescent="0.3">
      <c r="B124" s="1">
        <v>4</v>
      </c>
      <c r="C124" s="1">
        <v>0</v>
      </c>
      <c r="H124" s="2"/>
      <c r="I124" s="2">
        <v>10.050000000000001</v>
      </c>
    </row>
    <row r="125" spans="2:9" x14ac:dyDescent="0.3">
      <c r="B125" s="1">
        <v>2</v>
      </c>
      <c r="C125" s="1">
        <v>2</v>
      </c>
      <c r="H125" s="2"/>
      <c r="I125" s="2">
        <v>12.82</v>
      </c>
    </row>
    <row r="126" spans="2:9" x14ac:dyDescent="0.3">
      <c r="B126" s="1">
        <v>7</v>
      </c>
      <c r="C126" s="1">
        <v>0</v>
      </c>
      <c r="H126" s="2"/>
      <c r="I126" s="2">
        <v>9.7200000000000006</v>
      </c>
    </row>
    <row r="127" spans="2:9" x14ac:dyDescent="0.3">
      <c r="B127" s="1">
        <v>1</v>
      </c>
      <c r="C127" s="1">
        <v>1</v>
      </c>
      <c r="H127" s="2"/>
      <c r="I127" s="2">
        <v>6.65</v>
      </c>
    </row>
    <row r="128" spans="2:9" x14ac:dyDescent="0.3">
      <c r="B128" s="1">
        <v>0</v>
      </c>
      <c r="C128" s="1">
        <v>1</v>
      </c>
      <c r="H128" s="2"/>
      <c r="I128" s="2">
        <v>12.84</v>
      </c>
    </row>
    <row r="129" spans="2:9" x14ac:dyDescent="0.3">
      <c r="B129" s="1">
        <v>5</v>
      </c>
      <c r="C129" s="1">
        <v>0</v>
      </c>
      <c r="H129" s="2"/>
      <c r="I129" s="2">
        <v>9.61</v>
      </c>
    </row>
    <row r="130" spans="2:9" x14ac:dyDescent="0.3">
      <c r="B130" s="1">
        <v>0</v>
      </c>
      <c r="C130" s="1">
        <v>2</v>
      </c>
      <c r="H130" s="2"/>
      <c r="I130" s="2">
        <v>17.989999999999998</v>
      </c>
    </row>
    <row r="131" spans="2:9" x14ac:dyDescent="0.3">
      <c r="B131" s="1">
        <v>0</v>
      </c>
      <c r="C131" s="1">
        <v>2</v>
      </c>
      <c r="H131" s="2"/>
      <c r="I131" s="2">
        <v>13.84</v>
      </c>
    </row>
    <row r="132" spans="2:9" x14ac:dyDescent="0.3">
      <c r="B132" s="1">
        <v>4</v>
      </c>
      <c r="C132" s="1">
        <v>1</v>
      </c>
      <c r="H132" s="2"/>
      <c r="I132" s="2">
        <v>11.9</v>
      </c>
    </row>
    <row r="133" spans="2:9" x14ac:dyDescent="0.3">
      <c r="B133" s="1">
        <v>0</v>
      </c>
      <c r="C133" s="1">
        <v>2</v>
      </c>
      <c r="H133" s="2"/>
      <c r="I133" s="2">
        <v>16.66</v>
      </c>
    </row>
    <row r="134" spans="2:9" x14ac:dyDescent="0.3">
      <c r="B134" s="1">
        <v>4</v>
      </c>
      <c r="C134" s="1">
        <v>2</v>
      </c>
      <c r="H134" s="2"/>
      <c r="I134" s="2">
        <v>8.52</v>
      </c>
    </row>
    <row r="135" spans="2:9" x14ac:dyDescent="0.3">
      <c r="B135" s="1">
        <v>2</v>
      </c>
      <c r="C135" s="1">
        <v>7</v>
      </c>
      <c r="H135" s="2"/>
      <c r="I135" s="2">
        <v>6.86</v>
      </c>
    </row>
    <row r="136" spans="2:9" x14ac:dyDescent="0.3">
      <c r="B136" s="1">
        <v>4</v>
      </c>
      <c r="C136" s="1">
        <v>7</v>
      </c>
      <c r="H136" s="2"/>
      <c r="I136" s="2">
        <v>12.97</v>
      </c>
    </row>
    <row r="137" spans="2:9" x14ac:dyDescent="0.3">
      <c r="B137" s="1">
        <v>3</v>
      </c>
      <c r="C137" s="1">
        <v>4</v>
      </c>
      <c r="H137" s="2"/>
      <c r="I137" s="2">
        <v>18.170000000000002</v>
      </c>
    </row>
    <row r="138" spans="2:9" x14ac:dyDescent="0.3">
      <c r="B138" s="1">
        <v>4</v>
      </c>
      <c r="C138" s="1">
        <v>2</v>
      </c>
      <c r="H138" s="2"/>
      <c r="I138" s="2">
        <v>18.59</v>
      </c>
    </row>
    <row r="139" spans="2:9" x14ac:dyDescent="0.3">
      <c r="B139" s="1">
        <v>7</v>
      </c>
      <c r="C139" s="1">
        <v>3</v>
      </c>
      <c r="H139" s="2"/>
      <c r="I139" s="2">
        <v>8.06</v>
      </c>
    </row>
    <row r="140" spans="2:9" x14ac:dyDescent="0.3">
      <c r="B140" s="1">
        <v>0</v>
      </c>
      <c r="C140" s="1">
        <v>3</v>
      </c>
      <c r="H140" s="2"/>
      <c r="I140" s="2">
        <v>16.75</v>
      </c>
    </row>
    <row r="141" spans="2:9" x14ac:dyDescent="0.3">
      <c r="B141" s="1">
        <v>4</v>
      </c>
      <c r="C141" s="1">
        <v>5</v>
      </c>
      <c r="H141" s="2"/>
      <c r="I141" s="2">
        <v>12.780000000000001</v>
      </c>
    </row>
    <row r="142" spans="2:9" x14ac:dyDescent="0.3">
      <c r="B142" s="1">
        <v>2</v>
      </c>
      <c r="C142" s="1">
        <v>4</v>
      </c>
      <c r="H142" s="2"/>
      <c r="I142" s="2">
        <v>8.66</v>
      </c>
    </row>
    <row r="143" spans="2:9" x14ac:dyDescent="0.3">
      <c r="B143" s="1">
        <v>5</v>
      </c>
      <c r="C143" s="1">
        <v>2</v>
      </c>
      <c r="H143" s="2"/>
      <c r="I143" s="2">
        <v>7.49</v>
      </c>
    </row>
    <row r="144" spans="2:9" x14ac:dyDescent="0.3">
      <c r="B144" s="1">
        <v>3</v>
      </c>
      <c r="C144" s="1">
        <v>5</v>
      </c>
      <c r="H144" s="2"/>
      <c r="I144" s="2">
        <v>13.38</v>
      </c>
    </row>
    <row r="145" spans="2:9" x14ac:dyDescent="0.3">
      <c r="B145" s="1">
        <v>2</v>
      </c>
      <c r="C145" s="1">
        <v>2</v>
      </c>
      <c r="H145" s="2"/>
      <c r="I145" s="2">
        <v>7.43</v>
      </c>
    </row>
    <row r="146" spans="2:9" x14ac:dyDescent="0.3">
      <c r="B146" s="1">
        <v>3</v>
      </c>
      <c r="C146" s="1">
        <v>4</v>
      </c>
      <c r="H146" s="2"/>
      <c r="I146" s="2">
        <v>10.7</v>
      </c>
    </row>
    <row r="147" spans="2:9" x14ac:dyDescent="0.3">
      <c r="B147" s="1">
        <v>1</v>
      </c>
      <c r="C147" s="1">
        <v>2</v>
      </c>
      <c r="H147" s="2"/>
      <c r="I147" s="2">
        <v>11.64</v>
      </c>
    </row>
    <row r="148" spans="2:9" x14ac:dyDescent="0.3">
      <c r="B148" s="1">
        <v>2</v>
      </c>
      <c r="C148" s="1">
        <v>7</v>
      </c>
      <c r="H148" s="2"/>
      <c r="I148" s="2">
        <v>6.42</v>
      </c>
    </row>
    <row r="149" spans="2:9" x14ac:dyDescent="0.3">
      <c r="B149" s="1">
        <v>6</v>
      </c>
      <c r="C149" s="1">
        <v>5</v>
      </c>
      <c r="H149" s="2"/>
      <c r="I149" s="2">
        <v>13.25</v>
      </c>
    </row>
    <row r="150" spans="2:9" x14ac:dyDescent="0.3">
      <c r="B150" s="1">
        <v>6</v>
      </c>
      <c r="C150" s="1">
        <v>2</v>
      </c>
      <c r="H150" s="2"/>
      <c r="I150" s="2">
        <v>15.58</v>
      </c>
    </row>
    <row r="151" spans="2:9" x14ac:dyDescent="0.3">
      <c r="B151" s="1">
        <v>2</v>
      </c>
      <c r="C151" s="1">
        <v>2</v>
      </c>
      <c r="H151" s="2"/>
      <c r="I151" s="2">
        <v>6.36</v>
      </c>
    </row>
    <row r="152" spans="2:9" x14ac:dyDescent="0.3">
      <c r="B152" s="1">
        <v>2</v>
      </c>
      <c r="C152" s="1">
        <v>7</v>
      </c>
      <c r="H152" s="2"/>
      <c r="I152" s="2">
        <v>7.02</v>
      </c>
    </row>
    <row r="153" spans="2:9" x14ac:dyDescent="0.3">
      <c r="B153" s="1">
        <v>1</v>
      </c>
      <c r="C153" s="1">
        <v>1</v>
      </c>
    </row>
    <row r="154" spans="2:9" x14ac:dyDescent="0.3">
      <c r="B154" s="1">
        <v>1</v>
      </c>
      <c r="C154" s="1">
        <v>0</v>
      </c>
    </row>
    <row r="155" spans="2:9" x14ac:dyDescent="0.3">
      <c r="B155" s="1">
        <v>7</v>
      </c>
      <c r="C155" s="1">
        <v>6</v>
      </c>
    </row>
    <row r="156" spans="2:9" x14ac:dyDescent="0.3">
      <c r="B156" s="1">
        <v>1</v>
      </c>
      <c r="C156" s="1">
        <v>6</v>
      </c>
    </row>
    <row r="157" spans="2:9" x14ac:dyDescent="0.3">
      <c r="B157" s="1">
        <v>6</v>
      </c>
      <c r="C157" s="1">
        <v>6</v>
      </c>
    </row>
    <row r="158" spans="2:9" x14ac:dyDescent="0.3">
      <c r="B158" s="1">
        <v>6</v>
      </c>
      <c r="C158" s="1">
        <v>1</v>
      </c>
    </row>
    <row r="159" spans="2:9" x14ac:dyDescent="0.3">
      <c r="B159" s="1">
        <v>4</v>
      </c>
      <c r="C159" s="1">
        <v>2</v>
      </c>
    </row>
    <row r="160" spans="2:9" x14ac:dyDescent="0.3">
      <c r="B160" s="1">
        <v>2</v>
      </c>
      <c r="C160" s="1">
        <v>5</v>
      </c>
    </row>
    <row r="161" spans="2:3" x14ac:dyDescent="0.3">
      <c r="B161" s="1">
        <v>7</v>
      </c>
      <c r="C161" s="1">
        <v>3</v>
      </c>
    </row>
    <row r="162" spans="2:3" x14ac:dyDescent="0.3">
      <c r="B162" s="1">
        <v>2</v>
      </c>
      <c r="C162" s="1">
        <v>6</v>
      </c>
    </row>
    <row r="163" spans="2:3" x14ac:dyDescent="0.3">
      <c r="B163" s="1">
        <v>6</v>
      </c>
      <c r="C163" s="1">
        <v>3</v>
      </c>
    </row>
    <row r="164" spans="2:3" x14ac:dyDescent="0.3">
      <c r="B164" s="1">
        <v>2</v>
      </c>
      <c r="C164" s="1">
        <v>3</v>
      </c>
    </row>
    <row r="165" spans="2:3" x14ac:dyDescent="0.3">
      <c r="B165" s="1">
        <v>5</v>
      </c>
      <c r="C165" s="1">
        <v>5</v>
      </c>
    </row>
    <row r="166" spans="2:3" x14ac:dyDescent="0.3">
      <c r="B166" s="1">
        <v>3</v>
      </c>
      <c r="C166" s="1">
        <v>5</v>
      </c>
    </row>
    <row r="167" spans="2:3" x14ac:dyDescent="0.3">
      <c r="B167" s="1">
        <v>4</v>
      </c>
      <c r="C167" s="1">
        <v>6</v>
      </c>
    </row>
    <row r="168" spans="2:3" x14ac:dyDescent="0.3">
      <c r="B168" s="1">
        <v>6</v>
      </c>
      <c r="C168" s="1">
        <v>1</v>
      </c>
    </row>
    <row r="169" spans="2:3" x14ac:dyDescent="0.3">
      <c r="B169" s="1">
        <v>2</v>
      </c>
      <c r="C169" s="1">
        <v>6</v>
      </c>
    </row>
    <row r="170" spans="2:3" x14ac:dyDescent="0.3">
      <c r="B170" s="1">
        <v>1</v>
      </c>
      <c r="C170" s="1">
        <v>7</v>
      </c>
    </row>
    <row r="171" spans="2:3" x14ac:dyDescent="0.3">
      <c r="B171" s="1">
        <v>3</v>
      </c>
      <c r="C171" s="1">
        <v>1</v>
      </c>
    </row>
    <row r="172" spans="2:3" x14ac:dyDescent="0.3">
      <c r="B172" s="1">
        <v>4</v>
      </c>
      <c r="C172" s="1">
        <v>2</v>
      </c>
    </row>
    <row r="173" spans="2:3" x14ac:dyDescent="0.3">
      <c r="B173" s="1">
        <v>2</v>
      </c>
      <c r="C173" s="1">
        <v>7</v>
      </c>
    </row>
    <row r="174" spans="2:3" x14ac:dyDescent="0.3">
      <c r="B174" s="1">
        <v>7</v>
      </c>
      <c r="C174" s="1">
        <v>2</v>
      </c>
    </row>
    <row r="175" spans="2:3" x14ac:dyDescent="0.3">
      <c r="B175" s="1">
        <v>7</v>
      </c>
      <c r="C175" s="1">
        <v>1</v>
      </c>
    </row>
    <row r="176" spans="2:3" x14ac:dyDescent="0.3">
      <c r="B176" s="1">
        <v>4</v>
      </c>
      <c r="C176" s="1">
        <v>6</v>
      </c>
    </row>
    <row r="177" spans="2:3" x14ac:dyDescent="0.3">
      <c r="B177" s="1">
        <v>5</v>
      </c>
      <c r="C177" s="1">
        <v>0</v>
      </c>
    </row>
    <row r="178" spans="2:3" x14ac:dyDescent="0.3">
      <c r="B178" s="1">
        <v>6</v>
      </c>
      <c r="C178" s="1">
        <v>2</v>
      </c>
    </row>
    <row r="179" spans="2:3" x14ac:dyDescent="0.3">
      <c r="B179" s="1">
        <v>5</v>
      </c>
      <c r="C179" s="1">
        <v>4</v>
      </c>
    </row>
    <row r="180" spans="2:3" x14ac:dyDescent="0.3">
      <c r="B180" s="1">
        <v>7</v>
      </c>
      <c r="C180" s="1">
        <v>3</v>
      </c>
    </row>
    <row r="181" spans="2:3" x14ac:dyDescent="0.3">
      <c r="B181" s="1">
        <v>4</v>
      </c>
      <c r="C181" s="1">
        <v>2</v>
      </c>
    </row>
    <row r="182" spans="2:3" x14ac:dyDescent="0.3">
      <c r="B182" s="1">
        <v>3</v>
      </c>
      <c r="C182" s="1">
        <v>2</v>
      </c>
    </row>
    <row r="183" spans="2:3" x14ac:dyDescent="0.3">
      <c r="B183" s="1">
        <v>7</v>
      </c>
      <c r="C183" s="1">
        <v>3</v>
      </c>
    </row>
    <row r="184" spans="2:3" x14ac:dyDescent="0.3">
      <c r="B184" s="1">
        <v>6</v>
      </c>
      <c r="C184" s="1">
        <v>0</v>
      </c>
    </row>
    <row r="185" spans="2:3" x14ac:dyDescent="0.3">
      <c r="B185" s="1">
        <v>0</v>
      </c>
      <c r="C185" s="1">
        <v>6</v>
      </c>
    </row>
    <row r="186" spans="2:3" x14ac:dyDescent="0.3">
      <c r="B186" s="1">
        <v>7</v>
      </c>
      <c r="C186" s="1">
        <v>2</v>
      </c>
    </row>
    <row r="187" spans="2:3" x14ac:dyDescent="0.3">
      <c r="B187" s="1">
        <v>7</v>
      </c>
      <c r="C187" s="1">
        <v>6</v>
      </c>
    </row>
    <row r="188" spans="2:3" x14ac:dyDescent="0.3">
      <c r="B188" s="1">
        <v>3</v>
      </c>
      <c r="C188" s="1">
        <v>1</v>
      </c>
    </row>
    <row r="189" spans="2:3" x14ac:dyDescent="0.3">
      <c r="B189" s="1">
        <v>2</v>
      </c>
      <c r="C189" s="1">
        <v>3</v>
      </c>
    </row>
    <row r="190" spans="2:3" x14ac:dyDescent="0.3">
      <c r="B190" s="1">
        <v>4</v>
      </c>
      <c r="C190" s="1">
        <v>3</v>
      </c>
    </row>
    <row r="191" spans="2:3" x14ac:dyDescent="0.3">
      <c r="B191" s="1">
        <v>2</v>
      </c>
      <c r="C191" s="1">
        <v>5</v>
      </c>
    </row>
    <row r="192" spans="2:3" x14ac:dyDescent="0.3">
      <c r="B192" s="1">
        <v>1</v>
      </c>
      <c r="C192" s="1">
        <v>2</v>
      </c>
    </row>
    <row r="193" spans="2:3" x14ac:dyDescent="0.3">
      <c r="B193" s="1">
        <v>6</v>
      </c>
      <c r="C193" s="1">
        <v>7</v>
      </c>
    </row>
    <row r="194" spans="2:3" x14ac:dyDescent="0.3">
      <c r="B194" s="1">
        <v>5</v>
      </c>
      <c r="C194" s="1">
        <v>6</v>
      </c>
    </row>
    <row r="195" spans="2:3" x14ac:dyDescent="0.3">
      <c r="B195" s="1">
        <v>2</v>
      </c>
      <c r="C195" s="1">
        <v>1</v>
      </c>
    </row>
    <row r="196" spans="2:3" x14ac:dyDescent="0.3">
      <c r="B196" s="1">
        <v>0</v>
      </c>
      <c r="C196" s="1">
        <v>0</v>
      </c>
    </row>
    <row r="197" spans="2:3" x14ac:dyDescent="0.3">
      <c r="B197" s="1">
        <v>7</v>
      </c>
      <c r="C197" s="1">
        <v>4</v>
      </c>
    </row>
    <row r="198" spans="2:3" x14ac:dyDescent="0.3">
      <c r="B198" s="1">
        <v>2</v>
      </c>
      <c r="C198" s="1">
        <v>4</v>
      </c>
    </row>
    <row r="199" spans="2:3" x14ac:dyDescent="0.3">
      <c r="B199" s="1">
        <v>4</v>
      </c>
      <c r="C199" s="1">
        <v>7</v>
      </c>
    </row>
    <row r="200" spans="2:3" x14ac:dyDescent="0.3">
      <c r="B200" s="1">
        <v>2</v>
      </c>
      <c r="C200" s="1">
        <v>3</v>
      </c>
    </row>
    <row r="201" spans="2:3" x14ac:dyDescent="0.3">
      <c r="B201" s="1">
        <v>0</v>
      </c>
      <c r="C201" s="1">
        <v>2</v>
      </c>
    </row>
    <row r="202" spans="2:3" x14ac:dyDescent="0.3">
      <c r="B202" s="1">
        <v>5</v>
      </c>
      <c r="C202" s="1">
        <v>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90CD-725A-0E49-A453-E6B6F139DF19}">
  <dimension ref="B32:Q183"/>
  <sheetViews>
    <sheetView workbookViewId="0">
      <selection activeCell="I181" sqref="I181"/>
    </sheetView>
  </sheetViews>
  <sheetFormatPr defaultColWidth="11.19921875" defaultRowHeight="15.6" x14ac:dyDescent="0.3"/>
  <cols>
    <col min="4" max="4" width="15.5" bestFit="1" customWidth="1"/>
  </cols>
  <sheetData>
    <row r="32" spans="2:2" x14ac:dyDescent="0.3">
      <c r="B32" s="6" t="s">
        <v>4</v>
      </c>
    </row>
    <row r="33" spans="2:14" x14ac:dyDescent="0.3">
      <c r="B33" s="5"/>
      <c r="C33" t="s">
        <v>5</v>
      </c>
    </row>
    <row r="34" spans="2:14" x14ac:dyDescent="0.3">
      <c r="B34" s="6"/>
    </row>
    <row r="38" spans="2:14" x14ac:dyDescent="0.3">
      <c r="B38" s="5" t="s">
        <v>6</v>
      </c>
      <c r="C38" s="57" t="s">
        <v>0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"/>
    </row>
    <row r="39" spans="2:14" x14ac:dyDescent="0.3">
      <c r="B39" s="5"/>
      <c r="C39" s="11"/>
      <c r="D39" s="56" t="s">
        <v>9</v>
      </c>
      <c r="E39" s="56"/>
      <c r="F39" s="56" t="s">
        <v>8</v>
      </c>
      <c r="G39" s="56"/>
      <c r="H39" s="56" t="s">
        <v>10</v>
      </c>
      <c r="I39" s="56"/>
      <c r="J39" s="56"/>
      <c r="K39" s="56" t="s">
        <v>11</v>
      </c>
      <c r="L39" s="56"/>
      <c r="M39" s="56"/>
    </row>
    <row r="40" spans="2:14" s="8" customFormat="1" x14ac:dyDescent="0.3">
      <c r="B40" s="6"/>
      <c r="C40" s="12">
        <v>0</v>
      </c>
      <c r="D40" s="13" cm="1">
        <f t="array" ref="D40:D48">FREQUENCY('1DF_G2'!B3:B202,C40:C47)</f>
        <v>15</v>
      </c>
      <c r="E40" s="12"/>
      <c r="F40" s="13">
        <f>D40/D49</f>
        <v>7.4999999999999997E-2</v>
      </c>
      <c r="G40" s="12"/>
      <c r="H40" s="12"/>
      <c r="I40" s="12">
        <f>D40</f>
        <v>15</v>
      </c>
      <c r="J40" s="12"/>
      <c r="K40" s="12"/>
      <c r="L40" s="12">
        <f>F40</f>
        <v>7.4999999999999997E-2</v>
      </c>
      <c r="M40" s="12"/>
    </row>
    <row r="41" spans="2:14" x14ac:dyDescent="0.3">
      <c r="C41" s="12">
        <v>1</v>
      </c>
      <c r="D41" s="13">
        <v>22</v>
      </c>
      <c r="E41" s="12"/>
      <c r="F41" s="14">
        <f>D41/D49</f>
        <v>0.11</v>
      </c>
      <c r="G41" s="14"/>
      <c r="H41" s="14"/>
      <c r="I41" s="12">
        <f>D41+I40</f>
        <v>37</v>
      </c>
      <c r="J41" s="14"/>
      <c r="K41" s="14"/>
      <c r="L41" s="12">
        <f>F41+L40</f>
        <v>0.185</v>
      </c>
      <c r="M41" s="14"/>
    </row>
    <row r="42" spans="2:14" x14ac:dyDescent="0.3">
      <c r="C42" s="12">
        <v>2</v>
      </c>
      <c r="D42" s="13">
        <v>33</v>
      </c>
      <c r="E42" s="14"/>
      <c r="F42" s="14">
        <f>D42/D49</f>
        <v>0.16500000000000001</v>
      </c>
      <c r="G42" s="14"/>
      <c r="H42" s="14"/>
      <c r="I42" s="12">
        <f>I41+D42</f>
        <v>70</v>
      </c>
      <c r="J42" s="14"/>
      <c r="K42" s="14"/>
      <c r="L42" s="12">
        <f>F42+L41</f>
        <v>0.35</v>
      </c>
      <c r="M42" s="14"/>
    </row>
    <row r="43" spans="2:14" x14ac:dyDescent="0.3">
      <c r="C43" s="12">
        <v>3</v>
      </c>
      <c r="D43" s="13">
        <v>19</v>
      </c>
      <c r="E43" s="12"/>
      <c r="F43" s="14">
        <f>D43/D49</f>
        <v>9.5000000000000001E-2</v>
      </c>
      <c r="G43" s="14"/>
      <c r="H43" s="14"/>
      <c r="I43" s="12">
        <f>I42+D43</f>
        <v>89</v>
      </c>
      <c r="J43" s="14"/>
      <c r="K43" s="14"/>
      <c r="L43" s="12">
        <f t="shared" ref="L43:L47" si="0">F43+L42</f>
        <v>0.44499999999999995</v>
      </c>
      <c r="M43" s="14"/>
    </row>
    <row r="44" spans="2:14" x14ac:dyDescent="0.3">
      <c r="C44" s="12">
        <v>4</v>
      </c>
      <c r="D44" s="13">
        <v>27</v>
      </c>
      <c r="E44" s="12"/>
      <c r="F44" s="14">
        <f>D44/D49</f>
        <v>0.13500000000000001</v>
      </c>
      <c r="G44" s="14"/>
      <c r="H44" s="14"/>
      <c r="I44" s="12">
        <f>I43+D44</f>
        <v>116</v>
      </c>
      <c r="J44" s="14"/>
      <c r="K44" s="14"/>
      <c r="L44" s="12">
        <f t="shared" si="0"/>
        <v>0.57999999999999996</v>
      </c>
      <c r="M44" s="14"/>
    </row>
    <row r="45" spans="2:14" x14ac:dyDescent="0.3">
      <c r="C45" s="12">
        <v>5</v>
      </c>
      <c r="D45" s="13">
        <v>26</v>
      </c>
      <c r="E45" s="12"/>
      <c r="F45" s="14">
        <f>D45/D49</f>
        <v>0.13</v>
      </c>
      <c r="G45" s="14"/>
      <c r="H45" s="14"/>
      <c r="I45" s="12">
        <f>I44+D45</f>
        <v>142</v>
      </c>
      <c r="J45" s="14"/>
      <c r="K45" s="14"/>
      <c r="L45" s="12">
        <f t="shared" si="0"/>
        <v>0.71</v>
      </c>
      <c r="M45" s="14"/>
    </row>
    <row r="46" spans="2:14" x14ac:dyDescent="0.3">
      <c r="C46" s="12">
        <v>6</v>
      </c>
      <c r="D46" s="13">
        <v>27</v>
      </c>
      <c r="E46" s="12"/>
      <c r="F46" s="14">
        <f>D46/D49</f>
        <v>0.13500000000000001</v>
      </c>
      <c r="G46" s="14"/>
      <c r="H46" s="14"/>
      <c r="I46" s="12">
        <f t="shared" ref="I46:I47" si="1">I45+D46</f>
        <v>169</v>
      </c>
      <c r="J46" s="14"/>
      <c r="K46" s="14"/>
      <c r="L46" s="12">
        <f t="shared" si="0"/>
        <v>0.84499999999999997</v>
      </c>
      <c r="M46" s="14"/>
    </row>
    <row r="47" spans="2:14" x14ac:dyDescent="0.3">
      <c r="C47" s="12">
        <v>7</v>
      </c>
      <c r="D47" s="13">
        <v>31</v>
      </c>
      <c r="E47" s="12"/>
      <c r="F47" s="14">
        <f>D47/D49</f>
        <v>0.155</v>
      </c>
      <c r="G47" s="14"/>
      <c r="H47" s="14"/>
      <c r="I47" s="12">
        <f t="shared" si="1"/>
        <v>200</v>
      </c>
      <c r="J47" s="14"/>
      <c r="K47" s="14"/>
      <c r="L47" s="12">
        <f t="shared" si="0"/>
        <v>1</v>
      </c>
      <c r="M47" s="14"/>
    </row>
    <row r="48" spans="2:14" x14ac:dyDescent="0.3">
      <c r="C48" s="14"/>
      <c r="D48" s="13">
        <v>0</v>
      </c>
      <c r="E48" s="12"/>
      <c r="F48" s="14"/>
      <c r="G48" s="14"/>
      <c r="H48" s="14"/>
      <c r="I48" s="14"/>
      <c r="J48" s="14"/>
      <c r="K48" s="14"/>
      <c r="L48" s="14"/>
      <c r="M48" s="14"/>
    </row>
    <row r="49" spans="3:13" x14ac:dyDescent="0.3">
      <c r="C49" s="12" t="s">
        <v>7</v>
      </c>
      <c r="D49" s="12">
        <f>SUM(D40:D47)</f>
        <v>200</v>
      </c>
      <c r="E49" s="14"/>
      <c r="F49" s="15">
        <f>SUM(F40:F47)</f>
        <v>1</v>
      </c>
      <c r="G49" s="14"/>
      <c r="H49" s="14"/>
      <c r="I49" s="14"/>
      <c r="J49" s="14"/>
      <c r="K49" s="14"/>
      <c r="L49" s="14"/>
      <c r="M49" s="14"/>
    </row>
    <row r="54" spans="3:13" x14ac:dyDescent="0.3">
      <c r="C54" s="58" t="s">
        <v>1</v>
      </c>
      <c r="D54" s="58"/>
      <c r="E54" s="58"/>
      <c r="F54" s="58"/>
      <c r="G54" s="58"/>
      <c r="H54" s="58"/>
      <c r="I54" s="58"/>
      <c r="J54" s="58"/>
      <c r="K54" s="58"/>
      <c r="L54" s="58"/>
      <c r="M54" s="58"/>
    </row>
    <row r="55" spans="3:13" x14ac:dyDescent="0.3">
      <c r="C55" s="16"/>
      <c r="D55" s="59" t="s">
        <v>9</v>
      </c>
      <c r="E55" s="59"/>
      <c r="F55" s="59" t="s">
        <v>8</v>
      </c>
      <c r="G55" s="59"/>
      <c r="H55" s="59" t="s">
        <v>10</v>
      </c>
      <c r="I55" s="59"/>
      <c r="J55" s="59"/>
      <c r="K55" s="59" t="s">
        <v>12</v>
      </c>
      <c r="L55" s="59"/>
      <c r="M55" s="59"/>
    </row>
    <row r="56" spans="3:13" s="8" customFormat="1" x14ac:dyDescent="0.3">
      <c r="C56" s="18">
        <v>0</v>
      </c>
      <c r="D56" s="24" cm="1">
        <f t="array" ref="D56:D64">FREQUENCY('1DF_G2'!C3:C202,C56:C63)</f>
        <v>21</v>
      </c>
      <c r="E56" s="18"/>
      <c r="F56" s="24">
        <f>D56/D65</f>
        <v>0.105</v>
      </c>
      <c r="G56" s="18"/>
      <c r="H56" s="18"/>
      <c r="I56" s="18">
        <f>D56</f>
        <v>21</v>
      </c>
      <c r="J56" s="18"/>
      <c r="K56" s="18"/>
      <c r="L56" s="18">
        <f>F56</f>
        <v>0.105</v>
      </c>
      <c r="M56" s="18"/>
    </row>
    <row r="57" spans="3:13" x14ac:dyDescent="0.3">
      <c r="C57" s="18">
        <v>1</v>
      </c>
      <c r="D57" s="16">
        <v>27</v>
      </c>
      <c r="E57" s="16"/>
      <c r="F57" s="17">
        <f>D57/D65</f>
        <v>0.13500000000000001</v>
      </c>
      <c r="G57" s="16"/>
      <c r="H57" s="16"/>
      <c r="I57" s="18">
        <f>D57+I56</f>
        <v>48</v>
      </c>
      <c r="J57" s="16"/>
      <c r="K57" s="16"/>
      <c r="L57" s="19">
        <f>F57+L56</f>
        <v>0.24</v>
      </c>
      <c r="M57" s="16"/>
    </row>
    <row r="58" spans="3:13" x14ac:dyDescent="0.3">
      <c r="C58" s="18">
        <v>2</v>
      </c>
      <c r="D58" s="16">
        <v>31</v>
      </c>
      <c r="E58" s="16"/>
      <c r="F58" s="16">
        <f>D58/D65</f>
        <v>0.155</v>
      </c>
      <c r="G58" s="16"/>
      <c r="H58" s="16"/>
      <c r="I58" s="18">
        <f t="shared" ref="I58:I63" si="2">I57+D58</f>
        <v>79</v>
      </c>
      <c r="J58" s="16"/>
      <c r="K58" s="16"/>
      <c r="L58" s="19">
        <f t="shared" ref="L58:L63" si="3">L57+F58</f>
        <v>0.39500000000000002</v>
      </c>
      <c r="M58" s="16"/>
    </row>
    <row r="59" spans="3:13" x14ac:dyDescent="0.3">
      <c r="C59" s="18">
        <v>3</v>
      </c>
      <c r="D59" s="16">
        <v>25</v>
      </c>
      <c r="E59" s="16"/>
      <c r="F59" s="16">
        <f>D59/D65</f>
        <v>0.125</v>
      </c>
      <c r="G59" s="16"/>
      <c r="H59" s="16"/>
      <c r="I59" s="18">
        <f t="shared" si="2"/>
        <v>104</v>
      </c>
      <c r="J59" s="16"/>
      <c r="K59" s="16"/>
      <c r="L59" s="19">
        <f t="shared" si="3"/>
        <v>0.52</v>
      </c>
      <c r="M59" s="16"/>
    </row>
    <row r="60" spans="3:13" x14ac:dyDescent="0.3">
      <c r="C60" s="18">
        <v>4</v>
      </c>
      <c r="D60" s="16">
        <v>21</v>
      </c>
      <c r="E60" s="16"/>
      <c r="F60" s="16">
        <f>D60/D65</f>
        <v>0.105</v>
      </c>
      <c r="G60" s="16"/>
      <c r="H60" s="16"/>
      <c r="I60" s="18">
        <f t="shared" si="2"/>
        <v>125</v>
      </c>
      <c r="J60" s="16"/>
      <c r="K60" s="16"/>
      <c r="L60" s="19">
        <f t="shared" si="3"/>
        <v>0.625</v>
      </c>
      <c r="M60" s="16"/>
    </row>
    <row r="61" spans="3:13" x14ac:dyDescent="0.3">
      <c r="C61" s="18">
        <v>5</v>
      </c>
      <c r="D61" s="16">
        <v>27</v>
      </c>
      <c r="E61" s="16"/>
      <c r="F61" s="16">
        <f>D61/D65</f>
        <v>0.13500000000000001</v>
      </c>
      <c r="G61" s="16"/>
      <c r="H61" s="16"/>
      <c r="I61" s="18">
        <f t="shared" si="2"/>
        <v>152</v>
      </c>
      <c r="J61" s="16"/>
      <c r="K61" s="16"/>
      <c r="L61" s="19">
        <f t="shared" si="3"/>
        <v>0.76</v>
      </c>
      <c r="M61" s="16"/>
    </row>
    <row r="62" spans="3:13" x14ac:dyDescent="0.3">
      <c r="C62" s="18">
        <v>6</v>
      </c>
      <c r="D62" s="16">
        <v>27</v>
      </c>
      <c r="E62" s="16"/>
      <c r="F62" s="16">
        <f>D62/D65</f>
        <v>0.13500000000000001</v>
      </c>
      <c r="G62" s="16"/>
      <c r="H62" s="16"/>
      <c r="I62" s="18">
        <f t="shared" si="2"/>
        <v>179</v>
      </c>
      <c r="J62" s="16"/>
      <c r="K62" s="16"/>
      <c r="L62" s="19">
        <f t="shared" si="3"/>
        <v>0.89500000000000002</v>
      </c>
      <c r="M62" s="16"/>
    </row>
    <row r="63" spans="3:13" x14ac:dyDescent="0.3">
      <c r="C63" s="18">
        <v>7</v>
      </c>
      <c r="D63" s="16">
        <v>21</v>
      </c>
      <c r="E63" s="16"/>
      <c r="F63" s="16">
        <f>D63/D65</f>
        <v>0.105</v>
      </c>
      <c r="G63" s="16"/>
      <c r="H63" s="16"/>
      <c r="I63" s="18">
        <f t="shared" si="2"/>
        <v>200</v>
      </c>
      <c r="J63" s="16"/>
      <c r="K63" s="16"/>
      <c r="L63" s="19">
        <f t="shared" si="3"/>
        <v>1</v>
      </c>
      <c r="M63" s="16"/>
    </row>
    <row r="64" spans="3:13" x14ac:dyDescent="0.3">
      <c r="C64" s="16"/>
      <c r="D64" s="16">
        <v>0</v>
      </c>
      <c r="E64" s="16"/>
      <c r="F64" s="16"/>
      <c r="G64" s="16"/>
      <c r="H64" s="16"/>
      <c r="I64" s="16"/>
      <c r="J64" s="16"/>
      <c r="K64" s="16"/>
      <c r="L64" s="16"/>
      <c r="M64" s="16"/>
    </row>
    <row r="65" spans="2:13" x14ac:dyDescent="0.3">
      <c r="C65" s="18" t="s">
        <v>7</v>
      </c>
      <c r="D65" s="18">
        <f>SUM(D56:D63)</f>
        <v>200</v>
      </c>
      <c r="E65" s="16"/>
      <c r="F65" s="19">
        <f>SUM(F56:F63)</f>
        <v>1</v>
      </c>
      <c r="G65" s="16"/>
      <c r="H65" s="16"/>
      <c r="I65" s="16"/>
      <c r="J65" s="16"/>
      <c r="K65" s="16"/>
      <c r="L65" s="16"/>
      <c r="M65" s="16"/>
    </row>
    <row r="72" spans="2:13" x14ac:dyDescent="0.3">
      <c r="B72" s="6" t="s">
        <v>13</v>
      </c>
    </row>
    <row r="104" spans="2:5" s="8" customFormat="1" x14ac:dyDescent="0.3"/>
    <row r="107" spans="2:5" x14ac:dyDescent="0.3">
      <c r="B107" s="6" t="s">
        <v>14</v>
      </c>
    </row>
    <row r="109" spans="2:5" x14ac:dyDescent="0.3">
      <c r="C109" s="20"/>
      <c r="D109" s="21" t="s">
        <v>0</v>
      </c>
      <c r="E109" s="22" t="s">
        <v>1</v>
      </c>
    </row>
    <row r="110" spans="2:5" x14ac:dyDescent="0.3">
      <c r="C110" s="23" t="s">
        <v>15</v>
      </c>
      <c r="D110" s="12">
        <f>AVERAGE('1DF_G2'!B3:B202)</f>
        <v>3.81</v>
      </c>
      <c r="E110" s="18">
        <f>AVERAGE('1DF_G2'!C3:C202)</f>
        <v>3.46</v>
      </c>
    </row>
    <row r="111" spans="2:5" x14ac:dyDescent="0.3">
      <c r="C111" s="23" t="s">
        <v>16</v>
      </c>
      <c r="D111" s="12">
        <f>MEDIAN('1DF_G2'!B3:B202)</f>
        <v>4</v>
      </c>
      <c r="E111" s="18">
        <f>MEDIAN('1DF_G2'!C3:C202)</f>
        <v>3</v>
      </c>
    </row>
    <row r="112" spans="2:5" x14ac:dyDescent="0.3">
      <c r="C112" s="23" t="s">
        <v>17</v>
      </c>
      <c r="D112" s="12">
        <f>MODE('1DF_G2'!B3:B202)</f>
        <v>2</v>
      </c>
      <c r="E112" s="18">
        <f>MODE('1DF_G2'!C3:C202)</f>
        <v>2</v>
      </c>
    </row>
    <row r="119" spans="2:7" x14ac:dyDescent="0.3">
      <c r="B119" s="6" t="s">
        <v>18</v>
      </c>
    </row>
    <row r="121" spans="2:7" x14ac:dyDescent="0.3">
      <c r="D121" s="44" t="s">
        <v>0</v>
      </c>
      <c r="G121" s="45" t="s">
        <v>1</v>
      </c>
    </row>
    <row r="122" spans="2:7" x14ac:dyDescent="0.3">
      <c r="C122" s="36" t="s">
        <v>47</v>
      </c>
      <c r="D122" s="15">
        <f>D110-E153</f>
        <v>1.5741792396612357</v>
      </c>
      <c r="G122" s="19">
        <f>E110-K153</f>
        <v>1.2254157357193143</v>
      </c>
    </row>
    <row r="123" spans="2:7" x14ac:dyDescent="0.3">
      <c r="C123" s="36" t="s">
        <v>48</v>
      </c>
      <c r="D123" s="15">
        <f>D110+E153</f>
        <v>6.0458207603387644</v>
      </c>
      <c r="G123" s="19">
        <f>E110+K153</f>
        <v>5.6945842642806852</v>
      </c>
    </row>
    <row r="125" spans="2:7" x14ac:dyDescent="0.3">
      <c r="C125" s="36" t="s">
        <v>45</v>
      </c>
      <c r="D125" s="46">
        <v>132</v>
      </c>
      <c r="G125" s="47">
        <v>104</v>
      </c>
    </row>
    <row r="130" spans="2:7" x14ac:dyDescent="0.3">
      <c r="C130" t="s">
        <v>46</v>
      </c>
    </row>
    <row r="137" spans="2:7" x14ac:dyDescent="0.3">
      <c r="B137" s="6" t="s">
        <v>22</v>
      </c>
    </row>
    <row r="139" spans="2:7" x14ac:dyDescent="0.3">
      <c r="F139" s="55" t="s">
        <v>21</v>
      </c>
      <c r="G139" s="55"/>
    </row>
    <row r="140" spans="2:7" x14ac:dyDescent="0.3">
      <c r="B140" s="57" t="s">
        <v>19</v>
      </c>
      <c r="C140" s="57"/>
      <c r="D140" s="23">
        <f>SUM('1DF_G2'!B3:B202)</f>
        <v>762</v>
      </c>
      <c r="E140" s="20"/>
      <c r="F140" s="57">
        <f>D140*0.25</f>
        <v>190.5</v>
      </c>
      <c r="G140" s="57"/>
    </row>
    <row r="141" spans="2:7" x14ac:dyDescent="0.3">
      <c r="B141" s="66"/>
      <c r="C141" s="67"/>
      <c r="D141" s="67"/>
      <c r="E141" s="67"/>
      <c r="F141" s="67"/>
      <c r="G141" s="68"/>
    </row>
    <row r="142" spans="2:7" x14ac:dyDescent="0.3">
      <c r="B142" s="58" t="s">
        <v>20</v>
      </c>
      <c r="C142" s="58"/>
      <c r="D142" s="23">
        <f>SUM('1DF_G2'!C3:C202)</f>
        <v>692</v>
      </c>
      <c r="E142" s="20"/>
      <c r="F142" s="58">
        <f>D142*0.25</f>
        <v>173</v>
      </c>
      <c r="G142" s="58"/>
    </row>
    <row r="149" spans="2:11" x14ac:dyDescent="0.3">
      <c r="B149" s="6" t="s">
        <v>23</v>
      </c>
    </row>
    <row r="150" spans="2:11" x14ac:dyDescent="0.3">
      <c r="C150" s="57" t="s">
        <v>0</v>
      </c>
      <c r="D150" s="57"/>
      <c r="E150" s="57"/>
      <c r="I150" s="58" t="s">
        <v>1</v>
      </c>
      <c r="J150" s="58"/>
      <c r="K150" s="58"/>
    </row>
    <row r="151" spans="2:11" x14ac:dyDescent="0.3">
      <c r="C151" s="56" t="s">
        <v>25</v>
      </c>
      <c r="D151" s="56"/>
      <c r="E151" s="15">
        <f>_xlfn.VAR.S('1DF_G2'!B3:B202)</f>
        <v>4.9988944723618101</v>
      </c>
      <c r="I151" s="59" t="s">
        <v>27</v>
      </c>
      <c r="J151" s="59"/>
      <c r="K151" s="19">
        <f>_xlfn.VAR.S('1DF_G2'!C3:C202)</f>
        <v>4.9933668341708533</v>
      </c>
    </row>
    <row r="152" spans="2:11" x14ac:dyDescent="0.3">
      <c r="C152" s="60"/>
      <c r="D152" s="61"/>
      <c r="E152" s="62"/>
      <c r="I152" s="63"/>
      <c r="J152" s="64"/>
      <c r="K152" s="65"/>
    </row>
    <row r="153" spans="2:11" x14ac:dyDescent="0.3">
      <c r="C153" s="56" t="s">
        <v>26</v>
      </c>
      <c r="D153" s="56"/>
      <c r="E153" s="15">
        <f>_xlfn.STDEV.S('1DF_G2'!B3:B202)</f>
        <v>2.2358207603387643</v>
      </c>
      <c r="I153" s="59" t="s">
        <v>28</v>
      </c>
      <c r="J153" s="59"/>
      <c r="K153" s="19">
        <f>_xlfn.STDEV.S('1DF_G2'!C3:C202)</f>
        <v>2.2345842642806857</v>
      </c>
    </row>
    <row r="161" spans="2:5" x14ac:dyDescent="0.3">
      <c r="B161" s="6" t="s">
        <v>24</v>
      </c>
    </row>
    <row r="163" spans="2:5" x14ac:dyDescent="0.3">
      <c r="D163" s="55" t="s">
        <v>29</v>
      </c>
      <c r="E163" s="55"/>
    </row>
    <row r="164" spans="2:5" x14ac:dyDescent="0.3">
      <c r="D164" s="21" t="s">
        <v>0</v>
      </c>
      <c r="E164" s="22" t="s">
        <v>1</v>
      </c>
    </row>
    <row r="165" spans="2:5" x14ac:dyDescent="0.3">
      <c r="D165" s="15">
        <f>(0-D110)^3</f>
        <v>-55.306341000000003</v>
      </c>
      <c r="E165" s="18">
        <f>(0-E110)^3</f>
        <v>-41.421736000000003</v>
      </c>
    </row>
    <row r="166" spans="2:5" x14ac:dyDescent="0.3">
      <c r="D166" s="15">
        <f>(1-D110)^3</f>
        <v>-22.188041000000002</v>
      </c>
      <c r="E166" s="18">
        <f>(1-E110)^3</f>
        <v>-14.886935999999999</v>
      </c>
    </row>
    <row r="167" spans="2:5" x14ac:dyDescent="0.3">
      <c r="D167" s="15">
        <f>(2-D110)^3</f>
        <v>-5.9297409999999999</v>
      </c>
      <c r="E167" s="18">
        <f>(2-E110)^3</f>
        <v>-3.1121359999999996</v>
      </c>
    </row>
    <row r="168" spans="2:5" x14ac:dyDescent="0.3">
      <c r="D168" s="12">
        <f>(3-D110)^3</f>
        <v>-0.53144100000000016</v>
      </c>
      <c r="E168" s="18">
        <f>(3-E110)^3</f>
        <v>-9.7335999999999978E-2</v>
      </c>
    </row>
    <row r="169" spans="2:5" x14ac:dyDescent="0.3">
      <c r="D169" s="12">
        <f>(4-D110)^3</f>
        <v>6.8589999999999944E-3</v>
      </c>
      <c r="E169" s="18">
        <f>(4-E110)^3</f>
        <v>0.15746400000000002</v>
      </c>
    </row>
    <row r="170" spans="2:5" x14ac:dyDescent="0.3">
      <c r="D170" s="12">
        <f>(5-D110)^3</f>
        <v>1.6851589999999999</v>
      </c>
      <c r="E170" s="18">
        <f>(5-E110)^3</f>
        <v>3.6522640000000002</v>
      </c>
    </row>
    <row r="171" spans="2:5" x14ac:dyDescent="0.3">
      <c r="D171" s="12">
        <f>(6-D110)^3</f>
        <v>10.503458999999999</v>
      </c>
      <c r="E171" s="18">
        <f>(6-E110)^3</f>
        <v>16.387063999999999</v>
      </c>
    </row>
    <row r="172" spans="2:5" x14ac:dyDescent="0.3">
      <c r="D172" s="12">
        <f>(7-D110)^3</f>
        <v>32.461759000000001</v>
      </c>
      <c r="E172" s="18">
        <f>(7-E110)^3</f>
        <v>44.361864000000004</v>
      </c>
    </row>
    <row r="174" spans="2:5" x14ac:dyDescent="0.3">
      <c r="C174" t="s">
        <v>30</v>
      </c>
      <c r="D174" s="9">
        <f>(SUMPRODUCT(D165:D172,D40:D47)/D49)/(E153^3)</f>
        <v>-8.4821437853815684E-2</v>
      </c>
      <c r="E174" s="10">
        <f>(SUMPRODUCT(E165:E172,D56:D63)/D65)/(K153^3)</f>
        <v>4.7165023557953982E-2</v>
      </c>
    </row>
    <row r="177" spans="2:17" x14ac:dyDescent="0.3">
      <c r="B177" s="6" t="s">
        <v>91</v>
      </c>
    </row>
    <row r="178" spans="2:17" x14ac:dyDescent="0.3">
      <c r="D178" s="8" t="s">
        <v>92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2:17" x14ac:dyDescent="0.3">
      <c r="D179" s="8" t="s">
        <v>93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2:17" s="8" customFormat="1" x14ac:dyDescent="0.3">
      <c r="D180" s="8" t="s">
        <v>95</v>
      </c>
    </row>
    <row r="181" spans="2:17" x14ac:dyDescent="0.3">
      <c r="D181" s="8" t="s">
        <v>94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2:17" x14ac:dyDescent="0.3">
      <c r="D182" s="8"/>
      <c r="E182" s="8"/>
      <c r="F182" s="8"/>
      <c r="G182" s="8"/>
      <c r="H182" s="2"/>
      <c r="I182" s="8"/>
      <c r="J182" s="8"/>
      <c r="K182" s="8"/>
      <c r="L182" s="8"/>
      <c r="M182" s="8"/>
      <c r="N182" s="8"/>
      <c r="O182" s="8"/>
      <c r="P182" s="8"/>
      <c r="Q182" s="8"/>
    </row>
    <row r="183" spans="2:17" x14ac:dyDescent="0.3">
      <c r="D183" s="8"/>
      <c r="E183" s="8"/>
      <c r="F183" s="53"/>
      <c r="G183" s="8"/>
      <c r="H183" s="2"/>
      <c r="I183" s="8"/>
      <c r="J183" s="8"/>
      <c r="K183" s="8"/>
      <c r="L183" s="8"/>
      <c r="M183" s="8"/>
      <c r="N183" s="8"/>
      <c r="O183" s="8"/>
      <c r="P183" s="8"/>
      <c r="Q183" s="8"/>
    </row>
  </sheetData>
  <mergeCells count="25">
    <mergeCell ref="K39:M39"/>
    <mergeCell ref="C38:M38"/>
    <mergeCell ref="C54:M54"/>
    <mergeCell ref="D55:E55"/>
    <mergeCell ref="F55:G55"/>
    <mergeCell ref="H55:J55"/>
    <mergeCell ref="K55:M55"/>
    <mergeCell ref="F39:G39"/>
    <mergeCell ref="H39:J39"/>
    <mergeCell ref="D39:E39"/>
    <mergeCell ref="B141:G141"/>
    <mergeCell ref="B140:C140"/>
    <mergeCell ref="B142:C142"/>
    <mergeCell ref="F139:G139"/>
    <mergeCell ref="F140:G140"/>
    <mergeCell ref="F142:G142"/>
    <mergeCell ref="D163:E163"/>
    <mergeCell ref="C151:D151"/>
    <mergeCell ref="C153:D153"/>
    <mergeCell ref="C150:E150"/>
    <mergeCell ref="I150:K150"/>
    <mergeCell ref="I151:J151"/>
    <mergeCell ref="I153:J153"/>
    <mergeCell ref="C152:E152"/>
    <mergeCell ref="I152:K1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EC-252D-9F4B-B755-504BCF5644C6}">
  <dimension ref="B22:M167"/>
  <sheetViews>
    <sheetView topLeftCell="A106" workbookViewId="0">
      <selection activeCell="L157" sqref="L157"/>
    </sheetView>
  </sheetViews>
  <sheetFormatPr defaultColWidth="11.19921875" defaultRowHeight="15.6" x14ac:dyDescent="0.3"/>
  <cols>
    <col min="3" max="3" width="11.3984375" bestFit="1" customWidth="1"/>
  </cols>
  <sheetData>
    <row r="22" spans="2:13" x14ac:dyDescent="0.3">
      <c r="B22" s="7" t="s">
        <v>31</v>
      </c>
      <c r="C22" t="s">
        <v>32</v>
      </c>
    </row>
    <row r="26" spans="2:13" x14ac:dyDescent="0.3">
      <c r="B26" s="7" t="s">
        <v>33</v>
      </c>
      <c r="C26" s="57" t="s">
        <v>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2:13" x14ac:dyDescent="0.3">
      <c r="C27" s="11"/>
      <c r="D27" s="56" t="s">
        <v>9</v>
      </c>
      <c r="E27" s="56"/>
      <c r="F27" s="56" t="s">
        <v>8</v>
      </c>
      <c r="G27" s="56"/>
      <c r="H27" s="56" t="s">
        <v>10</v>
      </c>
      <c r="I27" s="56"/>
      <c r="J27" s="56"/>
      <c r="K27" s="56" t="s">
        <v>11</v>
      </c>
      <c r="L27" s="56"/>
      <c r="M27" s="56"/>
    </row>
    <row r="28" spans="2:13" x14ac:dyDescent="0.3">
      <c r="C28" s="12">
        <v>6</v>
      </c>
      <c r="D28" s="13" cm="1">
        <f t="array" ref="D28:D44">FREQUENCY('1DF_G2'!H3:H122,C28:C43)</f>
        <v>3</v>
      </c>
      <c r="E28" s="12"/>
      <c r="F28" s="27">
        <f>D28/D45</f>
        <v>2.5000000000000001E-2</v>
      </c>
      <c r="G28" s="14"/>
      <c r="H28" s="14"/>
      <c r="I28" s="12">
        <f>D28</f>
        <v>3</v>
      </c>
      <c r="J28" s="14"/>
      <c r="K28" s="14"/>
      <c r="L28" s="15">
        <f>F28</f>
        <v>2.5000000000000001E-2</v>
      </c>
      <c r="M28" s="14"/>
    </row>
    <row r="29" spans="2:13" x14ac:dyDescent="0.3">
      <c r="C29" s="12">
        <v>7</v>
      </c>
      <c r="D29" s="13">
        <v>8</v>
      </c>
      <c r="E29" s="14"/>
      <c r="F29" s="27">
        <f>D29/D45</f>
        <v>6.6666666666666666E-2</v>
      </c>
      <c r="G29" s="14"/>
      <c r="H29" s="14"/>
      <c r="I29" s="12">
        <f>I28+D29</f>
        <v>11</v>
      </c>
      <c r="J29" s="14"/>
      <c r="K29" s="14"/>
      <c r="L29" s="15">
        <f t="shared" ref="L29:L42" si="0">F29+L28</f>
        <v>9.1666666666666674E-2</v>
      </c>
      <c r="M29" s="14"/>
    </row>
    <row r="30" spans="2:13" x14ac:dyDescent="0.3">
      <c r="C30" s="12">
        <v>8</v>
      </c>
      <c r="D30" s="13">
        <v>9</v>
      </c>
      <c r="E30" s="12"/>
      <c r="F30" s="27">
        <f>D30/D45</f>
        <v>7.4999999999999997E-2</v>
      </c>
      <c r="G30" s="14"/>
      <c r="H30" s="14"/>
      <c r="I30" s="12">
        <f>I29+D30</f>
        <v>20</v>
      </c>
      <c r="J30" s="14"/>
      <c r="K30" s="14"/>
      <c r="L30" s="15">
        <f t="shared" si="0"/>
        <v>0.16666666666666669</v>
      </c>
      <c r="M30" s="14"/>
    </row>
    <row r="31" spans="2:13" x14ac:dyDescent="0.3">
      <c r="C31" s="12">
        <v>9</v>
      </c>
      <c r="D31" s="13">
        <v>12</v>
      </c>
      <c r="E31" s="12"/>
      <c r="F31" s="27">
        <f>D31/D45</f>
        <v>0.1</v>
      </c>
      <c r="G31" s="14"/>
      <c r="H31" s="14"/>
      <c r="I31" s="12">
        <f>I30+D31</f>
        <v>32</v>
      </c>
      <c r="J31" s="14"/>
      <c r="K31" s="14"/>
      <c r="L31" s="15">
        <f t="shared" si="0"/>
        <v>0.26666666666666672</v>
      </c>
      <c r="M31" s="14"/>
    </row>
    <row r="32" spans="2:13" x14ac:dyDescent="0.3">
      <c r="C32" s="12">
        <v>10</v>
      </c>
      <c r="D32" s="13">
        <v>7</v>
      </c>
      <c r="E32" s="12"/>
      <c r="F32" s="27">
        <f>D32/D45</f>
        <v>5.8333333333333334E-2</v>
      </c>
      <c r="G32" s="14"/>
      <c r="H32" s="14"/>
      <c r="I32" s="12">
        <f>I31+D32</f>
        <v>39</v>
      </c>
      <c r="J32" s="14"/>
      <c r="K32" s="14"/>
      <c r="L32" s="15">
        <f t="shared" si="0"/>
        <v>0.32500000000000007</v>
      </c>
      <c r="M32" s="14"/>
    </row>
    <row r="33" spans="3:13" x14ac:dyDescent="0.3">
      <c r="C33" s="12">
        <v>11</v>
      </c>
      <c r="D33" s="13">
        <v>9</v>
      </c>
      <c r="E33" s="12"/>
      <c r="F33" s="27">
        <f>D33/D45</f>
        <v>7.4999999999999997E-2</v>
      </c>
      <c r="G33" s="14"/>
      <c r="H33" s="14"/>
      <c r="I33" s="12">
        <f t="shared" ref="I33:I34" si="1">I32+D33</f>
        <v>48</v>
      </c>
      <c r="J33" s="14"/>
      <c r="K33" s="14"/>
      <c r="L33" s="15">
        <f t="shared" si="0"/>
        <v>0.40000000000000008</v>
      </c>
      <c r="M33" s="14"/>
    </row>
    <row r="34" spans="3:13" x14ac:dyDescent="0.3">
      <c r="C34" s="12">
        <v>12</v>
      </c>
      <c r="D34" s="13">
        <v>7</v>
      </c>
      <c r="E34" s="12"/>
      <c r="F34" s="27">
        <f>D34/D45</f>
        <v>5.8333333333333334E-2</v>
      </c>
      <c r="G34" s="14"/>
      <c r="H34" s="14"/>
      <c r="I34" s="12">
        <f t="shared" si="1"/>
        <v>55</v>
      </c>
      <c r="J34" s="14"/>
      <c r="K34" s="14"/>
      <c r="L34" s="15">
        <f t="shared" si="0"/>
        <v>0.45833333333333343</v>
      </c>
      <c r="M34" s="14"/>
    </row>
    <row r="35" spans="3:13" s="8" customFormat="1" x14ac:dyDescent="0.3">
      <c r="C35" s="12">
        <v>13</v>
      </c>
      <c r="D35" s="13">
        <v>8</v>
      </c>
      <c r="E35" s="12"/>
      <c r="F35" s="27">
        <f>D35/D45</f>
        <v>6.6666666666666666E-2</v>
      </c>
      <c r="G35" s="14"/>
      <c r="H35" s="14"/>
      <c r="I35" s="12">
        <f t="shared" ref="I35:I43" si="2">I34+D35</f>
        <v>63</v>
      </c>
      <c r="J35" s="14"/>
      <c r="K35" s="14"/>
      <c r="L35" s="15">
        <f t="shared" si="0"/>
        <v>0.52500000000000013</v>
      </c>
      <c r="M35" s="14"/>
    </row>
    <row r="36" spans="3:13" x14ac:dyDescent="0.3">
      <c r="C36" s="12">
        <v>14</v>
      </c>
      <c r="D36" s="13">
        <v>5</v>
      </c>
      <c r="E36" s="12"/>
      <c r="F36" s="27">
        <f>D36/D45</f>
        <v>4.1666666666666664E-2</v>
      </c>
      <c r="G36" s="14"/>
      <c r="H36" s="14"/>
      <c r="I36" s="12">
        <f t="shared" si="2"/>
        <v>68</v>
      </c>
      <c r="J36" s="14"/>
      <c r="K36" s="14"/>
      <c r="L36" s="15">
        <f t="shared" si="0"/>
        <v>0.56666666666666676</v>
      </c>
      <c r="M36" s="14"/>
    </row>
    <row r="37" spans="3:13" s="8" customFormat="1" x14ac:dyDescent="0.3">
      <c r="C37" s="12">
        <v>15</v>
      </c>
      <c r="D37" s="13">
        <v>10</v>
      </c>
      <c r="E37" s="12"/>
      <c r="F37" s="27">
        <f>D37/D45</f>
        <v>8.3333333333333329E-2</v>
      </c>
      <c r="G37" s="14"/>
      <c r="H37" s="14"/>
      <c r="I37" s="12">
        <f t="shared" si="2"/>
        <v>78</v>
      </c>
      <c r="J37" s="14"/>
      <c r="K37" s="14"/>
      <c r="L37" s="15">
        <f t="shared" si="0"/>
        <v>0.65000000000000013</v>
      </c>
      <c r="M37" s="14"/>
    </row>
    <row r="38" spans="3:13" s="8" customFormat="1" x14ac:dyDescent="0.3">
      <c r="C38" s="12">
        <v>16</v>
      </c>
      <c r="D38" s="13">
        <v>5</v>
      </c>
      <c r="E38" s="12"/>
      <c r="F38" s="27">
        <f>D38/D45</f>
        <v>4.1666666666666664E-2</v>
      </c>
      <c r="G38" s="14"/>
      <c r="H38" s="14"/>
      <c r="I38" s="12">
        <f t="shared" si="2"/>
        <v>83</v>
      </c>
      <c r="J38" s="14"/>
      <c r="K38" s="14"/>
      <c r="L38" s="15">
        <f t="shared" si="0"/>
        <v>0.69166666666666676</v>
      </c>
      <c r="M38" s="14"/>
    </row>
    <row r="39" spans="3:13" s="8" customFormat="1" x14ac:dyDescent="0.3">
      <c r="C39" s="12">
        <v>17</v>
      </c>
      <c r="D39" s="13">
        <v>10</v>
      </c>
      <c r="E39" s="12"/>
      <c r="F39" s="27">
        <f>D39/D45</f>
        <v>8.3333333333333329E-2</v>
      </c>
      <c r="G39" s="14"/>
      <c r="H39" s="14"/>
      <c r="I39" s="12">
        <f t="shared" si="2"/>
        <v>93</v>
      </c>
      <c r="J39" s="14"/>
      <c r="K39" s="14"/>
      <c r="L39" s="15">
        <f t="shared" si="0"/>
        <v>0.77500000000000013</v>
      </c>
      <c r="M39" s="14"/>
    </row>
    <row r="40" spans="3:13" s="8" customFormat="1" x14ac:dyDescent="0.3">
      <c r="C40" s="12">
        <v>18</v>
      </c>
      <c r="D40" s="13">
        <v>10</v>
      </c>
      <c r="E40" s="12"/>
      <c r="F40" s="27">
        <f>D40/D45</f>
        <v>8.3333333333333329E-2</v>
      </c>
      <c r="G40" s="14"/>
      <c r="H40" s="14"/>
      <c r="I40" s="12">
        <f t="shared" si="2"/>
        <v>103</v>
      </c>
      <c r="J40" s="14"/>
      <c r="K40" s="14"/>
      <c r="L40" s="15">
        <f t="shared" si="0"/>
        <v>0.8583333333333335</v>
      </c>
      <c r="M40" s="14"/>
    </row>
    <row r="41" spans="3:13" s="8" customFormat="1" x14ac:dyDescent="0.3">
      <c r="C41" s="12">
        <v>19</v>
      </c>
      <c r="D41" s="13">
        <v>9</v>
      </c>
      <c r="E41" s="12"/>
      <c r="F41" s="27">
        <f>D41/D45</f>
        <v>7.4999999999999997E-2</v>
      </c>
      <c r="G41" s="14"/>
      <c r="H41" s="14"/>
      <c r="I41" s="12">
        <f t="shared" si="2"/>
        <v>112</v>
      </c>
      <c r="J41" s="14"/>
      <c r="K41" s="14"/>
      <c r="L41" s="15">
        <f t="shared" si="0"/>
        <v>0.93333333333333346</v>
      </c>
      <c r="M41" s="14"/>
    </row>
    <row r="42" spans="3:13" s="8" customFormat="1" x14ac:dyDescent="0.3">
      <c r="C42" s="12">
        <v>20</v>
      </c>
      <c r="D42" s="13">
        <v>7</v>
      </c>
      <c r="E42" s="12"/>
      <c r="F42" s="27">
        <f>D42/D45</f>
        <v>5.8333333333333334E-2</v>
      </c>
      <c r="G42" s="14"/>
      <c r="H42" s="14"/>
      <c r="I42" s="12">
        <f t="shared" si="2"/>
        <v>119</v>
      </c>
      <c r="J42" s="14"/>
      <c r="K42" s="14"/>
      <c r="L42" s="15">
        <f t="shared" si="0"/>
        <v>0.99166666666666681</v>
      </c>
      <c r="M42" s="14"/>
    </row>
    <row r="43" spans="3:13" s="8" customFormat="1" x14ac:dyDescent="0.3">
      <c r="C43" s="12">
        <v>21</v>
      </c>
      <c r="D43" s="13">
        <v>1</v>
      </c>
      <c r="E43" s="12"/>
      <c r="F43" s="27">
        <f>D43/D45</f>
        <v>8.3333333333333332E-3</v>
      </c>
      <c r="G43" s="14"/>
      <c r="H43" s="14"/>
      <c r="I43" s="12">
        <f t="shared" si="2"/>
        <v>120</v>
      </c>
      <c r="J43" s="14"/>
      <c r="K43" s="14"/>
      <c r="L43" s="15">
        <f>F43+L42</f>
        <v>1.0000000000000002</v>
      </c>
      <c r="M43" s="14"/>
    </row>
    <row r="44" spans="3:13" s="8" customFormat="1" x14ac:dyDescent="0.3">
      <c r="C44" s="14"/>
      <c r="D44" s="13">
        <v>0</v>
      </c>
      <c r="E44" s="12"/>
      <c r="F44" s="14"/>
      <c r="G44" s="14"/>
      <c r="H44" s="14"/>
      <c r="I44" s="14"/>
      <c r="J44" s="14"/>
      <c r="K44" s="14"/>
      <c r="L44" s="14"/>
      <c r="M44" s="14"/>
    </row>
    <row r="45" spans="3:13" x14ac:dyDescent="0.3">
      <c r="C45" s="12" t="s">
        <v>7</v>
      </c>
      <c r="D45" s="12">
        <f>SUM(D28:D43)</f>
        <v>120</v>
      </c>
      <c r="E45" s="14"/>
      <c r="F45" s="15">
        <f>SUM(F28:F34)</f>
        <v>0.45833333333333343</v>
      </c>
      <c r="G45" s="14"/>
      <c r="H45" s="14"/>
      <c r="I45" s="14"/>
      <c r="J45" s="14"/>
      <c r="K45" s="14"/>
      <c r="L45" s="14"/>
      <c r="M45" s="14"/>
    </row>
    <row r="48" spans="3:13" x14ac:dyDescent="0.3">
      <c r="C48" s="58" t="s">
        <v>1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</row>
    <row r="49" spans="3:13" x14ac:dyDescent="0.3">
      <c r="C49" s="16"/>
      <c r="D49" s="59" t="s">
        <v>9</v>
      </c>
      <c r="E49" s="59"/>
      <c r="F49" s="59" t="s">
        <v>8</v>
      </c>
      <c r="G49" s="59"/>
      <c r="H49" s="59" t="s">
        <v>10</v>
      </c>
      <c r="I49" s="59"/>
      <c r="J49" s="59"/>
      <c r="K49" s="59" t="s">
        <v>12</v>
      </c>
      <c r="L49" s="59"/>
      <c r="M49" s="59"/>
    </row>
    <row r="50" spans="3:13" x14ac:dyDescent="0.3">
      <c r="C50" s="18">
        <v>7</v>
      </c>
      <c r="D50" s="16" cm="1">
        <f t="array" ref="D50:D64">FREQUENCY('1DF_G2'!I3:I152,C50:C63)</f>
        <v>14</v>
      </c>
      <c r="E50" s="16"/>
      <c r="F50" s="17">
        <f>D50/D65</f>
        <v>9.3333333333333338E-2</v>
      </c>
      <c r="G50" s="16"/>
      <c r="H50" s="16"/>
      <c r="I50" s="18">
        <f>D50</f>
        <v>14</v>
      </c>
      <c r="J50" s="16"/>
      <c r="K50" s="16"/>
      <c r="L50" s="19">
        <f>F50</f>
        <v>9.3333333333333338E-2</v>
      </c>
      <c r="M50" s="16"/>
    </row>
    <row r="51" spans="3:13" x14ac:dyDescent="0.3">
      <c r="C51" s="18">
        <v>8</v>
      </c>
      <c r="D51" s="16">
        <v>14</v>
      </c>
      <c r="E51" s="16"/>
      <c r="F51" s="17">
        <f>D51/D65</f>
        <v>9.3333333333333338E-2</v>
      </c>
      <c r="G51" s="16"/>
      <c r="H51" s="16"/>
      <c r="I51" s="18">
        <f t="shared" ref="I51:I63" si="3">I50+D51</f>
        <v>28</v>
      </c>
      <c r="J51" s="16"/>
      <c r="K51" s="16"/>
      <c r="L51" s="19">
        <f t="shared" ref="L51:L63" si="4">L50+F51</f>
        <v>0.18666666666666668</v>
      </c>
      <c r="M51" s="16"/>
    </row>
    <row r="52" spans="3:13" x14ac:dyDescent="0.3">
      <c r="C52" s="18">
        <v>9</v>
      </c>
      <c r="D52" s="16">
        <v>12</v>
      </c>
      <c r="E52" s="16"/>
      <c r="F52" s="17">
        <f>D52/D65</f>
        <v>0.08</v>
      </c>
      <c r="G52" s="16"/>
      <c r="H52" s="16"/>
      <c r="I52" s="18">
        <f>I51+D52</f>
        <v>40</v>
      </c>
      <c r="J52" s="16"/>
      <c r="K52" s="16"/>
      <c r="L52" s="19">
        <f t="shared" si="4"/>
        <v>0.26666666666666666</v>
      </c>
      <c r="M52" s="16"/>
    </row>
    <row r="53" spans="3:13" x14ac:dyDescent="0.3">
      <c r="C53" s="18">
        <v>10</v>
      </c>
      <c r="D53" s="16">
        <v>7</v>
      </c>
      <c r="E53" s="16"/>
      <c r="F53" s="17">
        <f>D53/D65</f>
        <v>4.6666666666666669E-2</v>
      </c>
      <c r="G53" s="16"/>
      <c r="H53" s="16"/>
      <c r="I53" s="18">
        <f t="shared" si="3"/>
        <v>47</v>
      </c>
      <c r="J53" s="16"/>
      <c r="K53" s="16"/>
      <c r="L53" s="19">
        <f t="shared" si="4"/>
        <v>0.31333333333333335</v>
      </c>
      <c r="M53" s="16"/>
    </row>
    <row r="54" spans="3:13" x14ac:dyDescent="0.3">
      <c r="C54" s="18">
        <v>11</v>
      </c>
      <c r="D54" s="16">
        <v>15</v>
      </c>
      <c r="E54" s="16"/>
      <c r="F54" s="17">
        <f>D54/D65</f>
        <v>0.1</v>
      </c>
      <c r="G54" s="16"/>
      <c r="H54" s="16"/>
      <c r="I54" s="18">
        <f t="shared" si="3"/>
        <v>62</v>
      </c>
      <c r="J54" s="16"/>
      <c r="K54" s="16"/>
      <c r="L54" s="19">
        <f t="shared" si="4"/>
        <v>0.41333333333333333</v>
      </c>
      <c r="M54" s="16"/>
    </row>
    <row r="55" spans="3:13" x14ac:dyDescent="0.3">
      <c r="C55" s="18">
        <v>12</v>
      </c>
      <c r="D55" s="16">
        <v>16</v>
      </c>
      <c r="E55" s="16"/>
      <c r="F55" s="17">
        <f>D55/D65</f>
        <v>0.10666666666666667</v>
      </c>
      <c r="G55" s="16"/>
      <c r="H55" s="16"/>
      <c r="I55" s="18">
        <f t="shared" si="3"/>
        <v>78</v>
      </c>
      <c r="J55" s="16"/>
      <c r="K55" s="16"/>
      <c r="L55" s="19">
        <f t="shared" si="4"/>
        <v>0.52</v>
      </c>
      <c r="M55" s="16"/>
    </row>
    <row r="56" spans="3:13" x14ac:dyDescent="0.3">
      <c r="C56" s="18">
        <v>13</v>
      </c>
      <c r="D56" s="16">
        <v>16</v>
      </c>
      <c r="E56" s="16"/>
      <c r="F56" s="17">
        <f>D56/D65</f>
        <v>0.10666666666666667</v>
      </c>
      <c r="G56" s="16"/>
      <c r="H56" s="16"/>
      <c r="I56" s="18">
        <f t="shared" si="3"/>
        <v>94</v>
      </c>
      <c r="J56" s="16"/>
      <c r="K56" s="16"/>
      <c r="L56" s="19">
        <f t="shared" si="4"/>
        <v>0.62666666666666671</v>
      </c>
      <c r="M56" s="16"/>
    </row>
    <row r="57" spans="3:13" x14ac:dyDescent="0.3">
      <c r="C57" s="18">
        <v>14</v>
      </c>
      <c r="D57" s="16">
        <v>15</v>
      </c>
      <c r="E57" s="16"/>
      <c r="F57" s="17">
        <f>D57/D65</f>
        <v>0.1</v>
      </c>
      <c r="G57" s="16"/>
      <c r="H57" s="16"/>
      <c r="I57" s="18">
        <f t="shared" si="3"/>
        <v>109</v>
      </c>
      <c r="J57" s="16"/>
      <c r="K57" s="16"/>
      <c r="L57" s="19">
        <f t="shared" si="4"/>
        <v>0.72666666666666668</v>
      </c>
      <c r="M57" s="16"/>
    </row>
    <row r="58" spans="3:13" s="8" customFormat="1" x14ac:dyDescent="0.3">
      <c r="C58" s="18">
        <v>15</v>
      </c>
      <c r="D58" s="16">
        <v>6</v>
      </c>
      <c r="E58" s="16"/>
      <c r="F58" s="17">
        <f>D58/D65</f>
        <v>0.04</v>
      </c>
      <c r="G58" s="16"/>
      <c r="H58" s="16"/>
      <c r="I58" s="18">
        <f t="shared" si="3"/>
        <v>115</v>
      </c>
      <c r="J58" s="16"/>
      <c r="K58" s="16"/>
      <c r="L58" s="19">
        <f t="shared" si="4"/>
        <v>0.76666666666666672</v>
      </c>
      <c r="M58" s="16"/>
    </row>
    <row r="59" spans="3:13" s="8" customFormat="1" x14ac:dyDescent="0.3">
      <c r="C59" s="18">
        <v>16</v>
      </c>
      <c r="D59" s="16">
        <v>10</v>
      </c>
      <c r="E59" s="16"/>
      <c r="F59" s="17">
        <f>D59/D65</f>
        <v>6.6666666666666666E-2</v>
      </c>
      <c r="G59" s="16"/>
      <c r="H59" s="16"/>
      <c r="I59" s="18">
        <f t="shared" si="3"/>
        <v>125</v>
      </c>
      <c r="J59" s="16"/>
      <c r="K59" s="16"/>
      <c r="L59" s="19">
        <f t="shared" si="4"/>
        <v>0.83333333333333337</v>
      </c>
      <c r="M59" s="16"/>
    </row>
    <row r="60" spans="3:13" s="8" customFormat="1" x14ac:dyDescent="0.3">
      <c r="C60" s="18">
        <v>17</v>
      </c>
      <c r="D60" s="16">
        <v>6</v>
      </c>
      <c r="E60" s="16"/>
      <c r="F60" s="17">
        <f>D60/65</f>
        <v>9.2307692307692313E-2</v>
      </c>
      <c r="G60" s="16"/>
      <c r="H60" s="16"/>
      <c r="I60" s="18">
        <f t="shared" si="3"/>
        <v>131</v>
      </c>
      <c r="J60" s="16"/>
      <c r="K60" s="16"/>
      <c r="L60" s="19">
        <f t="shared" si="4"/>
        <v>0.92564102564102568</v>
      </c>
      <c r="M60" s="16"/>
    </row>
    <row r="61" spans="3:13" s="8" customFormat="1" x14ac:dyDescent="0.3">
      <c r="C61" s="18">
        <v>18</v>
      </c>
      <c r="D61" s="16">
        <v>9</v>
      </c>
      <c r="E61" s="16"/>
      <c r="F61" s="17">
        <f>D61/65</f>
        <v>0.13846153846153847</v>
      </c>
      <c r="G61" s="16"/>
      <c r="H61" s="16"/>
      <c r="I61" s="18">
        <f t="shared" si="3"/>
        <v>140</v>
      </c>
      <c r="J61" s="16"/>
      <c r="K61" s="16"/>
      <c r="L61" s="19">
        <f t="shared" si="4"/>
        <v>1.0641025641025641</v>
      </c>
      <c r="M61" s="16"/>
    </row>
    <row r="62" spans="3:13" s="8" customFormat="1" x14ac:dyDescent="0.3">
      <c r="C62" s="18">
        <v>19</v>
      </c>
      <c r="D62" s="16">
        <v>9</v>
      </c>
      <c r="E62" s="16"/>
      <c r="F62" s="17">
        <f>D62/65</f>
        <v>0.13846153846153847</v>
      </c>
      <c r="G62" s="16"/>
      <c r="H62" s="16"/>
      <c r="I62" s="18">
        <f t="shared" si="3"/>
        <v>149</v>
      </c>
      <c r="J62" s="16"/>
      <c r="K62" s="16"/>
      <c r="L62" s="19">
        <f t="shared" si="4"/>
        <v>1.2025641025641025</v>
      </c>
      <c r="M62" s="16"/>
    </row>
    <row r="63" spans="3:13" s="8" customFormat="1" x14ac:dyDescent="0.3">
      <c r="C63" s="18">
        <v>20</v>
      </c>
      <c r="D63" s="16">
        <v>1</v>
      </c>
      <c r="E63" s="16"/>
      <c r="F63" s="17">
        <f>D63/D65</f>
        <v>6.6666666666666671E-3</v>
      </c>
      <c r="G63" s="16"/>
      <c r="H63" s="16"/>
      <c r="I63" s="18">
        <f t="shared" si="3"/>
        <v>150</v>
      </c>
      <c r="J63" s="16"/>
      <c r="K63" s="16"/>
      <c r="L63" s="19">
        <f t="shared" si="4"/>
        <v>1.2092307692307691</v>
      </c>
      <c r="M63" s="16"/>
    </row>
    <row r="64" spans="3:13" s="8" customFormat="1" x14ac:dyDescent="0.3">
      <c r="C64" s="16"/>
      <c r="D64" s="16">
        <v>0</v>
      </c>
      <c r="E64" s="16"/>
      <c r="F64" s="16"/>
      <c r="G64" s="16"/>
      <c r="H64" s="16"/>
      <c r="I64" s="16"/>
      <c r="J64" s="16"/>
      <c r="K64" s="16"/>
      <c r="L64" s="16"/>
      <c r="M64" s="16"/>
    </row>
    <row r="65" spans="2:13" x14ac:dyDescent="0.3">
      <c r="C65" s="18" t="s">
        <v>7</v>
      </c>
      <c r="D65" s="18">
        <f>SUM(D50:D63)</f>
        <v>150</v>
      </c>
      <c r="E65" s="16"/>
      <c r="F65" s="19">
        <f>SUM(F50:F56)</f>
        <v>0.62666666666666671</v>
      </c>
      <c r="G65" s="16"/>
      <c r="H65" s="16"/>
      <c r="I65" s="16"/>
      <c r="J65" s="16"/>
      <c r="K65" s="16"/>
      <c r="L65" s="16"/>
      <c r="M65" s="16"/>
    </row>
    <row r="69" spans="2:13" x14ac:dyDescent="0.3">
      <c r="B69" t="s">
        <v>34</v>
      </c>
    </row>
    <row r="85" spans="2:12" x14ac:dyDescent="0.3">
      <c r="B85" t="s">
        <v>35</v>
      </c>
    </row>
    <row r="86" spans="2:12" x14ac:dyDescent="0.3">
      <c r="C86" s="28"/>
      <c r="D86" s="28"/>
      <c r="E86" s="30" t="s">
        <v>0</v>
      </c>
      <c r="K86" s="37" t="s">
        <v>1</v>
      </c>
    </row>
    <row r="87" spans="2:12" x14ac:dyDescent="0.3">
      <c r="C87" s="31" t="s">
        <v>36</v>
      </c>
      <c r="I87" s="38" t="s">
        <v>36</v>
      </c>
    </row>
    <row r="88" spans="2:12" x14ac:dyDescent="0.3">
      <c r="C88" s="40">
        <f>C28*F28</f>
        <v>0.15000000000000002</v>
      </c>
      <c r="E88" s="29" t="s">
        <v>37</v>
      </c>
      <c r="F88" s="9">
        <f>SUM(C88:C103)</f>
        <v>13.275</v>
      </c>
      <c r="I88" s="39">
        <f t="shared" ref="I88:I101" si="5">C50*F50</f>
        <v>0.65333333333333332</v>
      </c>
      <c r="K88" t="s">
        <v>37</v>
      </c>
      <c r="L88" s="10">
        <f>SUM(I88:I101)</f>
        <v>16.245641025641024</v>
      </c>
    </row>
    <row r="89" spans="2:12" x14ac:dyDescent="0.3">
      <c r="C89" s="40">
        <f t="shared" ref="C89:C103" si="6">C29*F29</f>
        <v>0.46666666666666667</v>
      </c>
      <c r="I89" s="39">
        <f t="shared" si="5"/>
        <v>0.7466666666666667</v>
      </c>
    </row>
    <row r="90" spans="2:12" x14ac:dyDescent="0.3">
      <c r="C90" s="40">
        <f>C30*F30</f>
        <v>0.6</v>
      </c>
      <c r="I90" s="39">
        <f t="shared" si="5"/>
        <v>0.72</v>
      </c>
    </row>
    <row r="91" spans="2:12" x14ac:dyDescent="0.3">
      <c r="C91" s="40">
        <f t="shared" si="6"/>
        <v>0.9</v>
      </c>
      <c r="I91" s="39">
        <f t="shared" si="5"/>
        <v>0.46666666666666667</v>
      </c>
    </row>
    <row r="92" spans="2:12" x14ac:dyDescent="0.3">
      <c r="C92" s="40">
        <f t="shared" si="6"/>
        <v>0.58333333333333337</v>
      </c>
      <c r="I92" s="39">
        <f t="shared" si="5"/>
        <v>1.1000000000000001</v>
      </c>
    </row>
    <row r="93" spans="2:12" x14ac:dyDescent="0.3">
      <c r="C93" s="40">
        <f t="shared" si="6"/>
        <v>0.82499999999999996</v>
      </c>
      <c r="I93" s="39">
        <f t="shared" si="5"/>
        <v>1.28</v>
      </c>
    </row>
    <row r="94" spans="2:12" x14ac:dyDescent="0.3">
      <c r="C94" s="40">
        <f t="shared" si="6"/>
        <v>0.7</v>
      </c>
      <c r="I94" s="39">
        <f t="shared" si="5"/>
        <v>1.3866666666666667</v>
      </c>
    </row>
    <row r="95" spans="2:12" x14ac:dyDescent="0.3">
      <c r="C95" s="40">
        <f t="shared" si="6"/>
        <v>0.8666666666666667</v>
      </c>
      <c r="I95" s="39">
        <f t="shared" si="5"/>
        <v>1.4000000000000001</v>
      </c>
    </row>
    <row r="96" spans="2:12" x14ac:dyDescent="0.3">
      <c r="C96" s="40">
        <f t="shared" si="6"/>
        <v>0.58333333333333326</v>
      </c>
      <c r="I96" s="39">
        <f t="shared" si="5"/>
        <v>0.6</v>
      </c>
    </row>
    <row r="97" spans="2:10" x14ac:dyDescent="0.3">
      <c r="C97" s="40">
        <f t="shared" si="6"/>
        <v>1.25</v>
      </c>
      <c r="I97" s="39">
        <f t="shared" si="5"/>
        <v>1.0666666666666667</v>
      </c>
    </row>
    <row r="98" spans="2:10" x14ac:dyDescent="0.3">
      <c r="C98" s="40">
        <f t="shared" si="6"/>
        <v>0.66666666666666663</v>
      </c>
      <c r="I98" s="39">
        <f t="shared" si="5"/>
        <v>1.5692307692307694</v>
      </c>
    </row>
    <row r="99" spans="2:10" x14ac:dyDescent="0.3">
      <c r="C99" s="40">
        <f t="shared" si="6"/>
        <v>1.4166666666666665</v>
      </c>
      <c r="I99" s="39">
        <f t="shared" si="5"/>
        <v>2.4923076923076923</v>
      </c>
    </row>
    <row r="100" spans="2:10" x14ac:dyDescent="0.3">
      <c r="C100" s="40">
        <f t="shared" si="6"/>
        <v>1.5</v>
      </c>
      <c r="I100" s="39">
        <f t="shared" si="5"/>
        <v>2.6307692307692307</v>
      </c>
    </row>
    <row r="101" spans="2:10" x14ac:dyDescent="0.3">
      <c r="C101" s="40">
        <f>C41*F41</f>
        <v>1.425</v>
      </c>
      <c r="I101" s="39">
        <f t="shared" si="5"/>
        <v>0.13333333333333333</v>
      </c>
    </row>
    <row r="102" spans="2:10" x14ac:dyDescent="0.3">
      <c r="C102" s="40">
        <f t="shared" si="6"/>
        <v>1.1666666666666667</v>
      </c>
    </row>
    <row r="103" spans="2:10" x14ac:dyDescent="0.3">
      <c r="C103" s="40">
        <f t="shared" si="6"/>
        <v>0.17499999999999999</v>
      </c>
    </row>
    <row r="107" spans="2:10" x14ac:dyDescent="0.3">
      <c r="B107" t="s">
        <v>18</v>
      </c>
    </row>
    <row r="109" spans="2:10" x14ac:dyDescent="0.3">
      <c r="C109" s="33" t="s">
        <v>0</v>
      </c>
      <c r="D109" s="33">
        <v>20</v>
      </c>
      <c r="E109" s="33">
        <v>40</v>
      </c>
      <c r="H109" s="34" t="s">
        <v>1</v>
      </c>
      <c r="I109" s="34">
        <v>20</v>
      </c>
      <c r="J109" s="34">
        <v>40</v>
      </c>
    </row>
    <row r="110" spans="2:10" x14ac:dyDescent="0.3">
      <c r="C110" s="60"/>
      <c r="D110" s="61"/>
      <c r="E110" s="62"/>
      <c r="H110" s="63"/>
      <c r="I110" s="64"/>
      <c r="J110" s="65"/>
    </row>
    <row r="111" spans="2:10" x14ac:dyDescent="0.3">
      <c r="C111" s="14" t="s">
        <v>50</v>
      </c>
      <c r="D111" s="48">
        <f>PERCENTILE('1DF_G2'!H3:H122,0.2)</f>
        <v>8.2640000000000011</v>
      </c>
      <c r="E111" s="32">
        <f>PERCENTILE('1DF_G2'!H3:H122,0.4)</f>
        <v>11.214000000000002</v>
      </c>
      <c r="H111" s="16" t="s">
        <v>50</v>
      </c>
      <c r="I111" s="35">
        <f>PERCENTILE('1DF_G2'!I3:I152,0.2)</f>
        <v>8.3559999999999999</v>
      </c>
      <c r="J111" s="35">
        <f>PERCENTILE('1DF_G2'!I3:I152,0.4)</f>
        <v>10.906000000000001</v>
      </c>
    </row>
    <row r="122" spans="2:9" x14ac:dyDescent="0.3">
      <c r="B122" t="s">
        <v>22</v>
      </c>
    </row>
    <row r="123" spans="2:9" x14ac:dyDescent="0.3">
      <c r="D123" s="41" t="s">
        <v>0</v>
      </c>
      <c r="I123" s="42" t="s">
        <v>1</v>
      </c>
    </row>
    <row r="124" spans="2:9" x14ac:dyDescent="0.3">
      <c r="B124" s="56" t="s">
        <v>27</v>
      </c>
      <c r="C124" s="56"/>
      <c r="D124" s="15">
        <f>_xlfn.VAR.S('1DF_G2'!H3:H122)</f>
        <v>17.933226890756274</v>
      </c>
      <c r="G124" s="59" t="s">
        <v>27</v>
      </c>
      <c r="H124" s="59"/>
      <c r="I124" s="19">
        <f>_xlfn.VAR.S('1DF_G2'!I3:I152)</f>
        <v>13.002247825503597</v>
      </c>
    </row>
    <row r="125" spans="2:9" x14ac:dyDescent="0.3">
      <c r="B125" s="14"/>
      <c r="C125" s="14"/>
      <c r="D125" s="14"/>
      <c r="G125" s="16"/>
      <c r="H125" s="16"/>
      <c r="I125" s="16"/>
    </row>
    <row r="126" spans="2:9" x14ac:dyDescent="0.3">
      <c r="B126" s="56" t="s">
        <v>28</v>
      </c>
      <c r="C126" s="56"/>
      <c r="D126" s="15">
        <f>_xlfn.STDEV.S('1DF_G2'!H3:H122)</f>
        <v>4.2347640891502181</v>
      </c>
      <c r="G126" s="59" t="s">
        <v>28</v>
      </c>
      <c r="H126" s="59"/>
      <c r="I126" s="19">
        <f>_xlfn.STDEV.S('1DF_G2'!I3:I152)</f>
        <v>3.6058629793024024</v>
      </c>
    </row>
    <row r="127" spans="2:9" s="8" customFormat="1" x14ac:dyDescent="0.3">
      <c r="B127" s="25"/>
      <c r="C127" s="25"/>
      <c r="D127" s="15"/>
      <c r="G127" s="26"/>
      <c r="H127" s="26"/>
      <c r="I127" s="19"/>
    </row>
    <row r="128" spans="2:9" s="8" customFormat="1" x14ac:dyDescent="0.3">
      <c r="B128" s="60" t="s">
        <v>39</v>
      </c>
      <c r="C128" s="62"/>
      <c r="D128" s="15">
        <f>(SUM('1DF_G2'!H3:H122))/120</f>
        <v>12.855</v>
      </c>
      <c r="G128" s="63" t="s">
        <v>39</v>
      </c>
      <c r="H128" s="65"/>
      <c r="I128" s="19">
        <f>(SUM('1DF_G2'!I3:I152))/150</f>
        <v>12.015399999999993</v>
      </c>
    </row>
    <row r="129" spans="2:12" x14ac:dyDescent="0.3">
      <c r="B129" s="14"/>
      <c r="C129" s="14"/>
      <c r="D129" s="14"/>
      <c r="G129" s="16"/>
      <c r="H129" s="16"/>
      <c r="I129" s="16"/>
    </row>
    <row r="130" spans="2:12" x14ac:dyDescent="0.3">
      <c r="B130" s="56" t="s">
        <v>38</v>
      </c>
      <c r="C130" s="56"/>
      <c r="D130" s="15">
        <f>D126/D128</f>
        <v>0.32942544450799049</v>
      </c>
      <c r="G130" s="59" t="s">
        <v>38</v>
      </c>
      <c r="H130" s="59"/>
      <c r="I130" s="19">
        <f>I126/I128</f>
        <v>0.30010344884917728</v>
      </c>
    </row>
    <row r="133" spans="2:12" x14ac:dyDescent="0.3">
      <c r="B133" t="s">
        <v>40</v>
      </c>
    </row>
    <row r="139" spans="2:12" x14ac:dyDescent="0.3">
      <c r="B139" t="s">
        <v>23</v>
      </c>
    </row>
    <row r="141" spans="2:12" x14ac:dyDescent="0.3">
      <c r="D141" s="55" t="s">
        <v>41</v>
      </c>
      <c r="E141" s="55"/>
      <c r="F141" s="55"/>
      <c r="J141" s="55" t="s">
        <v>42</v>
      </c>
      <c r="K141" s="55"/>
      <c r="L141" s="55"/>
    </row>
    <row r="142" spans="2:12" x14ac:dyDescent="0.3">
      <c r="D142" s="30" t="s">
        <v>0</v>
      </c>
      <c r="F142" s="37" t="s">
        <v>1</v>
      </c>
      <c r="J142" s="30" t="s">
        <v>0</v>
      </c>
      <c r="K142" s="8"/>
      <c r="L142" s="37" t="s">
        <v>1</v>
      </c>
    </row>
    <row r="143" spans="2:12" x14ac:dyDescent="0.3">
      <c r="D143" s="15">
        <f>((6-D128)^3)</f>
        <v>-322.12347637500005</v>
      </c>
      <c r="F143" s="19">
        <f>((7-I128)^3)</f>
        <v>-126.15856105226344</v>
      </c>
      <c r="J143" s="15">
        <f>((6-D128)^4)</f>
        <v>2208.1564305506258</v>
      </c>
      <c r="K143" s="8"/>
      <c r="L143" s="19">
        <f>((7-I128)^4)</f>
        <v>632.73564710152118</v>
      </c>
    </row>
    <row r="144" spans="2:12" x14ac:dyDescent="0.3">
      <c r="D144" s="15">
        <f>((7-D128)^3)</f>
        <v>-200.71540137500006</v>
      </c>
      <c r="F144" s="19">
        <f>((8-I128)^3)</f>
        <v>-64.742049572263639</v>
      </c>
      <c r="J144" s="15">
        <f>((7-D128)^4)</f>
        <v>1175.1886750506255</v>
      </c>
      <c r="K144" s="8"/>
      <c r="L144" s="19">
        <f>((8-I128)^4)</f>
        <v>259.96522585246697</v>
      </c>
    </row>
    <row r="145" spans="2:12" x14ac:dyDescent="0.3">
      <c r="D145" s="15">
        <f>((8-D128)^3)</f>
        <v>-114.43732637500004</v>
      </c>
      <c r="F145" s="19">
        <f>((9-I128)^3)</f>
        <v>-27.417938092263796</v>
      </c>
      <c r="J145" s="15">
        <f>((8-D128)^4)</f>
        <v>555.59321955062524</v>
      </c>
      <c r="K145" s="8"/>
      <c r="L145" s="19">
        <f>((9-I128)^4)</f>
        <v>82.676050523412044</v>
      </c>
    </row>
    <row r="146" spans="2:12" x14ac:dyDescent="0.3">
      <c r="D146" s="15">
        <f>((9-D128)^3)</f>
        <v>-57.289251375000021</v>
      </c>
      <c r="F146" s="19">
        <f>((10-I128)^3)</f>
        <v>-8.1862266122639102</v>
      </c>
      <c r="J146" s="15">
        <f>((9-D128)^4)</f>
        <v>220.85006405062509</v>
      </c>
      <c r="K146" s="8"/>
      <c r="L146" s="19">
        <f>((10-I128)^4)</f>
        <v>16.498521114356624</v>
      </c>
    </row>
    <row r="147" spans="2:12" x14ac:dyDescent="0.3">
      <c r="D147" s="15">
        <f>((10-D128)^3)</f>
        <v>-23.27117637500001</v>
      </c>
      <c r="F147" s="19">
        <f>((11-I128)^3)</f>
        <v>-1.0469151322639769</v>
      </c>
      <c r="J147" s="15">
        <f>((10-D128)^4)</f>
        <v>66.43920855062504</v>
      </c>
      <c r="K147" s="8"/>
      <c r="L147" s="19">
        <f>((11-I128)^4)</f>
        <v>1.0630376253008342</v>
      </c>
    </row>
    <row r="148" spans="2:12" x14ac:dyDescent="0.3">
      <c r="D148" s="15">
        <f>((11-D128)^3)</f>
        <v>-6.3831013750000043</v>
      </c>
      <c r="F148" s="19">
        <f>((12-I128)^3)</f>
        <v>-3.6522639999946857E-6</v>
      </c>
      <c r="J148" s="15">
        <f>((11-D128)^4)</f>
        <v>11.840653050625011</v>
      </c>
      <c r="K148" s="8"/>
      <c r="L148" s="19">
        <f>((12-I128)^4)</f>
        <v>5.624486559989088E-8</v>
      </c>
    </row>
    <row r="149" spans="2:12" x14ac:dyDescent="0.3">
      <c r="D149" s="15">
        <f>((12-D128)^3)</f>
        <v>-0.62502637500000091</v>
      </c>
      <c r="F149" s="19">
        <f>((13-I128)^3)</f>
        <v>0.95450782773602172</v>
      </c>
      <c r="J149" s="15">
        <f>((12-D128)^4)</f>
        <v>0.53439755062500105</v>
      </c>
      <c r="K149" s="8"/>
      <c r="L149" s="19">
        <f>((13-I128)^4)</f>
        <v>0.93980840718889402</v>
      </c>
    </row>
    <row r="150" spans="2:12" x14ac:dyDescent="0.3">
      <c r="D150" s="15">
        <f>((13-D128)^3)</f>
        <v>3.0486249999999732E-3</v>
      </c>
      <c r="F150" s="19">
        <f>((14-I128)^3)</f>
        <v>7.8166193077360884</v>
      </c>
      <c r="J150" s="15">
        <f>((13-D128)^4)</f>
        <v>4.4205062499999483E-4</v>
      </c>
      <c r="K150" s="8"/>
      <c r="L150" s="19">
        <f>((14-I128)^4)</f>
        <v>15.512862678133098</v>
      </c>
    </row>
    <row r="151" spans="2:12" x14ac:dyDescent="0.3">
      <c r="D151" s="15">
        <f>((14-D128)^3)</f>
        <v>1.5011236249999982</v>
      </c>
      <c r="F151" s="19">
        <f>((15-I128)^3)</f>
        <v>26.586330787736198</v>
      </c>
      <c r="J151" s="15">
        <f>((14-D128)^4)</f>
        <v>1.7187865506249973</v>
      </c>
      <c r="K151" s="8"/>
      <c r="L151" s="19">
        <f>((15-I128)^4)</f>
        <v>79.349562869077658</v>
      </c>
    </row>
    <row r="152" spans="2:12" x14ac:dyDescent="0.3">
      <c r="D152" s="15">
        <f>((15-D128)^3)</f>
        <v>9.8691986249999939</v>
      </c>
      <c r="F152" s="19">
        <f>((16-I128)^3)</f>
        <v>63.263642267736351</v>
      </c>
      <c r="J152" s="15">
        <f>((15-D128)^4)</f>
        <v>21.169431050624983</v>
      </c>
      <c r="K152" s="8"/>
      <c r="L152" s="19">
        <f>((16-I128)^4)</f>
        <v>252.08030898002275</v>
      </c>
    </row>
    <row r="153" spans="2:12" x14ac:dyDescent="0.3">
      <c r="D153" s="15">
        <f>((16-D128)^3)</f>
        <v>31.107273624999987</v>
      </c>
      <c r="F153" s="19">
        <f>((17-I128)^3)</f>
        <v>123.84855374773656</v>
      </c>
      <c r="J153" s="15">
        <f>((16-D128)^4)</f>
        <v>97.832375550624946</v>
      </c>
      <c r="K153" s="8"/>
      <c r="L153" s="19">
        <f>((17-I128)^4)</f>
        <v>617.33550101096864</v>
      </c>
    </row>
    <row r="154" spans="2:12" x14ac:dyDescent="0.3">
      <c r="D154" s="15">
        <f>((17-D128)^3)</f>
        <v>71.21534862499999</v>
      </c>
      <c r="F154" s="19">
        <f>((18-I128)^3)</f>
        <v>214.34106522773678</v>
      </c>
      <c r="J154" s="15">
        <f>((17-D128)^4)</f>
        <v>295.18762005062496</v>
      </c>
      <c r="K154" s="8"/>
      <c r="L154" s="19">
        <f>((18-I128)^4)</f>
        <v>1282.7455389619151</v>
      </c>
    </row>
    <row r="155" spans="2:12" x14ac:dyDescent="0.3">
      <c r="D155" s="15">
        <f>((18-D128)^3)</f>
        <v>136.19342362499998</v>
      </c>
      <c r="F155" s="19">
        <f>((19-I128)^3)</f>
        <v>340.74117670773705</v>
      </c>
      <c r="J155" s="15">
        <f>((18-D128)^4)</f>
        <v>700.71516455062488</v>
      </c>
      <c r="K155" s="8"/>
      <c r="L155" s="19">
        <f>((19-I128)^4)</f>
        <v>2379.940822832863</v>
      </c>
    </row>
    <row r="156" spans="2:12" x14ac:dyDescent="0.3">
      <c r="D156" s="15">
        <f>((19-D128)^3)</f>
        <v>232.04149862499997</v>
      </c>
      <c r="F156" s="19">
        <f>((20-I128)^3)</f>
        <v>509.04888818773742</v>
      </c>
      <c r="J156" s="15">
        <f>((19-D128)^4)</f>
        <v>1425.8950090506248</v>
      </c>
      <c r="K156" s="8"/>
      <c r="L156" s="19">
        <f>((20-I128)^4)</f>
        <v>4064.5517526238118</v>
      </c>
    </row>
    <row r="157" spans="2:12" x14ac:dyDescent="0.3">
      <c r="D157" s="15">
        <f>((20-D128)^3)</f>
        <v>364.75957362499997</v>
      </c>
      <c r="J157" s="15">
        <f>((20-D128)^4)</f>
        <v>2606.2071535506248</v>
      </c>
      <c r="K157" s="8"/>
      <c r="L157" s="8"/>
    </row>
    <row r="158" spans="2:12" x14ac:dyDescent="0.3">
      <c r="D158" s="15">
        <f>((21-D128)^3)</f>
        <v>540.34764862499992</v>
      </c>
      <c r="J158" s="15">
        <f>((21-D128)^4)</f>
        <v>4401.1315980506233</v>
      </c>
      <c r="K158" s="8"/>
      <c r="L158" s="8"/>
    </row>
    <row r="159" spans="2:12" x14ac:dyDescent="0.3">
      <c r="B159" s="55" t="s">
        <v>44</v>
      </c>
      <c r="C159" s="55"/>
      <c r="D159" s="9">
        <f>(SUMPRODUCT(I28:I43,D143:D158)/16)/(D126^3)</f>
        <v>123.28088185815388</v>
      </c>
      <c r="F159" s="10">
        <f>(SUM(F143:F156)/14)/(I126^3)</f>
        <v>1.6134681484565789</v>
      </c>
      <c r="H159" s="55" t="s">
        <v>43</v>
      </c>
      <c r="I159" s="55"/>
      <c r="J159" s="9">
        <f>(SUM(J143:J158)/16)/(D126^4)</f>
        <v>2.6796551147998997</v>
      </c>
      <c r="K159" s="8"/>
      <c r="L159" s="10">
        <f>(SUM(L143:L156)/14)/(I126^4)</f>
        <v>4.09215812031987</v>
      </c>
    </row>
    <row r="165" spans="2:3" x14ac:dyDescent="0.3">
      <c r="B165" t="s">
        <v>24</v>
      </c>
    </row>
    <row r="167" spans="2:3" x14ac:dyDescent="0.3">
      <c r="C167" t="s">
        <v>49</v>
      </c>
    </row>
  </sheetData>
  <mergeCells count="24">
    <mergeCell ref="J141:L141"/>
    <mergeCell ref="H159:I159"/>
    <mergeCell ref="B159:C159"/>
    <mergeCell ref="H110:J110"/>
    <mergeCell ref="C110:E110"/>
    <mergeCell ref="D141:F141"/>
    <mergeCell ref="B130:C130"/>
    <mergeCell ref="B126:C126"/>
    <mergeCell ref="B124:C124"/>
    <mergeCell ref="G124:H124"/>
    <mergeCell ref="G126:H126"/>
    <mergeCell ref="G130:H130"/>
    <mergeCell ref="B128:C128"/>
    <mergeCell ref="G128:H128"/>
    <mergeCell ref="D49:E49"/>
    <mergeCell ref="F49:G49"/>
    <mergeCell ref="H49:J49"/>
    <mergeCell ref="K49:M49"/>
    <mergeCell ref="C26:M26"/>
    <mergeCell ref="D27:E27"/>
    <mergeCell ref="F27:G27"/>
    <mergeCell ref="H27:J27"/>
    <mergeCell ref="K27:M27"/>
    <mergeCell ref="C48:M4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5A5-FAE3-374C-9F53-323ACE2E7519}">
  <dimension ref="A8:G30"/>
  <sheetViews>
    <sheetView workbookViewId="0">
      <selection activeCell="G30" sqref="G30"/>
    </sheetView>
  </sheetViews>
  <sheetFormatPr defaultColWidth="11.19921875" defaultRowHeight="15.6" x14ac:dyDescent="0.3"/>
  <cols>
    <col min="2" max="2" width="11.19921875" style="8"/>
  </cols>
  <sheetData>
    <row r="8" spans="2:6" x14ac:dyDescent="0.3">
      <c r="D8" s="30" t="s">
        <v>0</v>
      </c>
      <c r="F8" s="37" t="s">
        <v>1</v>
      </c>
    </row>
    <row r="9" spans="2:6" x14ac:dyDescent="0.3">
      <c r="C9" t="s">
        <v>52</v>
      </c>
      <c r="D9" s="49">
        <v>3.81</v>
      </c>
      <c r="F9">
        <v>3.46</v>
      </c>
    </row>
    <row r="10" spans="2:6" s="8" customFormat="1" x14ac:dyDescent="0.3">
      <c r="B10" s="51" t="s">
        <v>55</v>
      </c>
      <c r="D10" s="28">
        <f>'Exercício 1'!E153</f>
        <v>2.2358207603387643</v>
      </c>
      <c r="F10" s="28">
        <f>'Exercício 1'!K153</f>
        <v>2.2345842642806857</v>
      </c>
    </row>
    <row r="11" spans="2:6" x14ac:dyDescent="0.3">
      <c r="C11" t="s">
        <v>60</v>
      </c>
      <c r="D11" s="28">
        <f>'Exercício 1'!E151</f>
        <v>4.9988944723618101</v>
      </c>
      <c r="F11">
        <f>'Exercício 1'!K151</f>
        <v>4.9933668341708533</v>
      </c>
    </row>
    <row r="12" spans="2:6" s="8" customFormat="1" x14ac:dyDescent="0.3">
      <c r="D12" s="28"/>
    </row>
    <row r="13" spans="2:6" s="8" customFormat="1" x14ac:dyDescent="0.3">
      <c r="B13" s="8" t="s">
        <v>61</v>
      </c>
      <c r="D13" s="28">
        <v>0.05</v>
      </c>
    </row>
    <row r="14" spans="2:6" s="8" customFormat="1" x14ac:dyDescent="0.3">
      <c r="D14" s="28"/>
    </row>
    <row r="15" spans="2:6" s="8" customFormat="1" x14ac:dyDescent="0.3">
      <c r="B15" s="8" t="s">
        <v>62</v>
      </c>
      <c r="D15" s="28">
        <f>_xlfn.NORM.INV(1-(D13/2),0,1)</f>
        <v>1.9599639845400536</v>
      </c>
      <c r="F15" s="28">
        <f>_xlfn.NORM.INV(1-(D13/2),0,1)</f>
        <v>1.9599639845400536</v>
      </c>
    </row>
    <row r="16" spans="2:6" s="8" customFormat="1" x14ac:dyDescent="0.3">
      <c r="D16" s="28"/>
    </row>
    <row r="17" spans="1:7" s="8" customFormat="1" x14ac:dyDescent="0.3">
      <c r="B17" s="8" t="s">
        <v>63</v>
      </c>
      <c r="D17" s="28">
        <f>D15*(D10/SQRT(200))</f>
        <v>0.30986325423138972</v>
      </c>
      <c r="F17" s="28">
        <f>F15*(F10/SQRT(200))</f>
        <v>0.30969188776982126</v>
      </c>
    </row>
    <row r="18" spans="1:7" s="8" customFormat="1" x14ac:dyDescent="0.3">
      <c r="D18" s="28"/>
    </row>
    <row r="19" spans="1:7" s="8" customFormat="1" x14ac:dyDescent="0.3">
      <c r="D19" s="28"/>
    </row>
    <row r="20" spans="1:7" s="8" customFormat="1" x14ac:dyDescent="0.3">
      <c r="D20" s="28"/>
    </row>
    <row r="22" spans="1:7" x14ac:dyDescent="0.3">
      <c r="A22" t="s">
        <v>64</v>
      </c>
    </row>
    <row r="24" spans="1:7" x14ac:dyDescent="0.3">
      <c r="B24" s="8" t="s">
        <v>53</v>
      </c>
      <c r="C24" s="50" t="s">
        <v>54</v>
      </c>
      <c r="D24" s="28">
        <f>D9-D17</f>
        <v>3.5001367457686103</v>
      </c>
      <c r="E24" s="52" t="s">
        <v>73</v>
      </c>
      <c r="F24" s="28">
        <f>D9+D17</f>
        <v>4.1198632542313902</v>
      </c>
      <c r="G24" s="28" t="s">
        <v>56</v>
      </c>
    </row>
    <row r="28" spans="1:7" x14ac:dyDescent="0.3">
      <c r="A28" t="s">
        <v>65</v>
      </c>
    </row>
    <row r="30" spans="1:7" x14ac:dyDescent="0.3">
      <c r="B30" s="8" t="s">
        <v>53</v>
      </c>
      <c r="C30" s="50" t="s">
        <v>54</v>
      </c>
      <c r="D30" s="28">
        <f>F9-F17</f>
        <v>3.1503081122301788</v>
      </c>
      <c r="E30" s="52" t="s">
        <v>73</v>
      </c>
      <c r="F30" s="28">
        <f>F9+F17</f>
        <v>3.7696918877698211</v>
      </c>
      <c r="G30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51D5-8380-0F48-877F-DE2EAF8A2270}">
  <dimension ref="A9:H30"/>
  <sheetViews>
    <sheetView topLeftCell="A16" workbookViewId="0">
      <selection activeCell="I9" sqref="I9"/>
    </sheetView>
  </sheetViews>
  <sheetFormatPr defaultColWidth="11.19921875" defaultRowHeight="15.6" x14ac:dyDescent="0.3"/>
  <sheetData>
    <row r="9" spans="1:6" x14ac:dyDescent="0.3">
      <c r="D9" s="30" t="s">
        <v>0</v>
      </c>
      <c r="F9" s="37" t="s">
        <v>1</v>
      </c>
    </row>
    <row r="10" spans="1:6" x14ac:dyDescent="0.3">
      <c r="A10" s="55" t="s">
        <v>51</v>
      </c>
      <c r="B10" s="55"/>
      <c r="C10" s="55"/>
      <c r="D10" s="43">
        <f>SUM('Exercício 1'!D43:D47)</f>
        <v>130</v>
      </c>
      <c r="F10" s="43">
        <f>SUM('Exercício 1'!D59:D63)</f>
        <v>121</v>
      </c>
    </row>
    <row r="11" spans="1:6" x14ac:dyDescent="0.3">
      <c r="B11" t="s">
        <v>66</v>
      </c>
      <c r="D11">
        <f>D10/200</f>
        <v>0.65</v>
      </c>
      <c r="F11">
        <f>F10/200</f>
        <v>0.60499999999999998</v>
      </c>
    </row>
    <row r="12" spans="1:6" s="8" customFormat="1" x14ac:dyDescent="0.3"/>
    <row r="13" spans="1:6" s="8" customFormat="1" x14ac:dyDescent="0.3"/>
    <row r="14" spans="1:6" s="8" customFormat="1" x14ac:dyDescent="0.3">
      <c r="B14" s="8" t="s">
        <v>67</v>
      </c>
    </row>
    <row r="15" spans="1:6" s="8" customFormat="1" x14ac:dyDescent="0.3"/>
    <row r="17" spans="1:8" x14ac:dyDescent="0.3">
      <c r="C17" s="29" t="s">
        <v>57</v>
      </c>
      <c r="D17">
        <f>1-0.97</f>
        <v>3.0000000000000027E-2</v>
      </c>
    </row>
    <row r="18" spans="1:8" x14ac:dyDescent="0.3">
      <c r="C18" t="s">
        <v>58</v>
      </c>
      <c r="D18">
        <v>0.52400000000000002</v>
      </c>
    </row>
    <row r="19" spans="1:8" s="8" customFormat="1" x14ac:dyDescent="0.3">
      <c r="C19" s="8" t="s">
        <v>69</v>
      </c>
      <c r="D19" s="28">
        <f>_xlfn.NORM.INV(1-(D17/2),0,1)</f>
        <v>2.1700903775845601</v>
      </c>
    </row>
    <row r="20" spans="1:8" s="8" customFormat="1" x14ac:dyDescent="0.3"/>
    <row r="21" spans="1:8" s="8" customFormat="1" x14ac:dyDescent="0.3">
      <c r="A21" s="8" t="s">
        <v>68</v>
      </c>
      <c r="E21" s="28">
        <f>D19*(SQRT((D11*(1-D11)/200+(F11*(1-F11)/200))))</f>
        <v>0.10480379527635739</v>
      </c>
    </row>
    <row r="22" spans="1:8" s="8" customFormat="1" x14ac:dyDescent="0.3"/>
    <row r="23" spans="1:8" x14ac:dyDescent="0.3">
      <c r="C23" s="8" t="s">
        <v>70</v>
      </c>
      <c r="D23" s="50"/>
      <c r="E23" s="8" t="s">
        <v>71</v>
      </c>
    </row>
    <row r="24" spans="1:8" s="8" customFormat="1" x14ac:dyDescent="0.3">
      <c r="D24" s="50"/>
    </row>
    <row r="25" spans="1:8" s="8" customFormat="1" x14ac:dyDescent="0.3">
      <c r="C25" s="8" t="s">
        <v>72</v>
      </c>
      <c r="D25" s="50"/>
      <c r="E25" s="28">
        <f>D11-F11-E21</f>
        <v>-5.9803795276357347E-2</v>
      </c>
      <c r="F25" s="52" t="s">
        <v>73</v>
      </c>
      <c r="G25" s="28">
        <f>D11-F11+E21</f>
        <v>0.14980379527635743</v>
      </c>
      <c r="H25" s="8" t="s">
        <v>56</v>
      </c>
    </row>
    <row r="26" spans="1:8" s="8" customFormat="1" x14ac:dyDescent="0.3">
      <c r="D26" s="50"/>
    </row>
    <row r="30" spans="1:8" x14ac:dyDescent="0.3">
      <c r="D30" t="s">
        <v>59</v>
      </c>
    </row>
  </sheetData>
  <mergeCells count="1">
    <mergeCell ref="A10:C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045-DBCD-9A4F-B6D4-3FC3C61DA7D0}">
  <dimension ref="A8:D20"/>
  <sheetViews>
    <sheetView tabSelected="1" workbookViewId="0">
      <selection activeCell="D21" sqref="D21"/>
    </sheetView>
  </sheetViews>
  <sheetFormatPr defaultColWidth="11.19921875" defaultRowHeight="15.6" x14ac:dyDescent="0.3"/>
  <sheetData>
    <row r="8" spans="1:3" x14ac:dyDescent="0.3">
      <c r="B8" s="50" t="s">
        <v>74</v>
      </c>
      <c r="C8">
        <v>120</v>
      </c>
    </row>
    <row r="9" spans="1:3" x14ac:dyDescent="0.3">
      <c r="B9" s="50" t="s">
        <v>75</v>
      </c>
      <c r="C9" s="28">
        <f>'Exercício 2'!D128</f>
        <v>12.855</v>
      </c>
    </row>
    <row r="10" spans="1:3" x14ac:dyDescent="0.3">
      <c r="A10" s="51" t="s">
        <v>76</v>
      </c>
      <c r="C10" s="28">
        <f>'Exercício 2'!D126</f>
        <v>4.2347640891502181</v>
      </c>
    </row>
    <row r="12" spans="1:3" x14ac:dyDescent="0.3">
      <c r="B12" s="50" t="s">
        <v>77</v>
      </c>
      <c r="C12" t="s">
        <v>78</v>
      </c>
    </row>
    <row r="13" spans="1:3" x14ac:dyDescent="0.3">
      <c r="B13" s="50" t="s">
        <v>79</v>
      </c>
      <c r="C13" t="s">
        <v>80</v>
      </c>
    </row>
    <row r="15" spans="1:3" x14ac:dyDescent="0.3">
      <c r="B15" s="50" t="s">
        <v>81</v>
      </c>
      <c r="C15">
        <v>0.06</v>
      </c>
    </row>
    <row r="16" spans="1:3" x14ac:dyDescent="0.3">
      <c r="B16" s="50" t="s">
        <v>82</v>
      </c>
      <c r="C16" s="28">
        <f>_xlfn.NORM.INV(1-C15,0,1)</f>
        <v>1.5547735945968528</v>
      </c>
    </row>
    <row r="18" spans="2:4" x14ac:dyDescent="0.3">
      <c r="B18" t="s">
        <v>83</v>
      </c>
    </row>
    <row r="20" spans="2:4" x14ac:dyDescent="0.3">
      <c r="B20" t="s">
        <v>84</v>
      </c>
      <c r="C20" s="28">
        <f>(C9-5.5)/(C10/SQRT(C8))</f>
        <v>19.025850440036617</v>
      </c>
      <c r="D20" t="s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CE98-22DA-E84B-9F51-85CE09BC9D98}">
  <dimension ref="C8:G21"/>
  <sheetViews>
    <sheetView workbookViewId="0">
      <selection activeCell="E22" sqref="E22"/>
    </sheetView>
  </sheetViews>
  <sheetFormatPr defaultColWidth="11.19921875" defaultRowHeight="15.6" x14ac:dyDescent="0.3"/>
  <cols>
    <col min="3" max="3" width="14.09765625" customWidth="1"/>
  </cols>
  <sheetData>
    <row r="8" spans="3:7" x14ac:dyDescent="0.3">
      <c r="C8" s="8"/>
      <c r="D8" s="30" t="s">
        <v>0</v>
      </c>
      <c r="E8" s="8"/>
      <c r="F8" s="37" t="s">
        <v>1</v>
      </c>
      <c r="G8" s="8"/>
    </row>
    <row r="9" spans="3:7" x14ac:dyDescent="0.3">
      <c r="C9" t="s">
        <v>86</v>
      </c>
      <c r="D9" s="28">
        <f>'Exercício 2'!D126</f>
        <v>4.2347640891502181</v>
      </c>
      <c r="F9" s="28">
        <f>'Exercício 2'!I126</f>
        <v>3.6058629793024024</v>
      </c>
    </row>
    <row r="10" spans="3:7" x14ac:dyDescent="0.3">
      <c r="C10" s="50" t="s">
        <v>74</v>
      </c>
      <c r="D10">
        <v>120</v>
      </c>
      <c r="F10">
        <v>150</v>
      </c>
    </row>
    <row r="11" spans="3:7" x14ac:dyDescent="0.3">
      <c r="C11" s="50" t="s">
        <v>75</v>
      </c>
      <c r="D11">
        <f>'Exercício 2'!D128</f>
        <v>12.855</v>
      </c>
      <c r="F11">
        <f>'Exercício 2'!I128</f>
        <v>12.015399999999993</v>
      </c>
    </row>
    <row r="13" spans="3:7" x14ac:dyDescent="0.3">
      <c r="C13" s="50" t="s">
        <v>77</v>
      </c>
      <c r="D13" s="8" t="s">
        <v>87</v>
      </c>
    </row>
    <row r="14" spans="3:7" x14ac:dyDescent="0.3">
      <c r="C14" s="50" t="s">
        <v>79</v>
      </c>
      <c r="D14" s="8" t="s">
        <v>88</v>
      </c>
    </row>
    <row r="16" spans="3:7" x14ac:dyDescent="0.3">
      <c r="C16" s="50" t="s">
        <v>81</v>
      </c>
      <c r="D16">
        <v>0.08</v>
      </c>
    </row>
    <row r="17" spans="3:5" x14ac:dyDescent="0.3">
      <c r="C17" s="50" t="s">
        <v>82</v>
      </c>
      <c r="D17" s="28">
        <f>_xlfn.NORM.INV(1-D16,0,1)</f>
        <v>1.4050715603096329</v>
      </c>
    </row>
    <row r="19" spans="3:5" x14ac:dyDescent="0.3">
      <c r="C19" t="s">
        <v>89</v>
      </c>
    </row>
    <row r="21" spans="3:5" x14ac:dyDescent="0.3">
      <c r="C21" s="50" t="s">
        <v>84</v>
      </c>
      <c r="D21" s="28">
        <f>(D11-F11)/SQRT(((D9^2)/D10)+((F9^2)/F10))</f>
        <v>1.7278309603528192</v>
      </c>
      <c r="E21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1DF_G2</vt:lpstr>
      <vt:lpstr>Exercício 1</vt:lpstr>
      <vt:lpstr>Exercício 2</vt:lpstr>
      <vt:lpstr>Exercício 3</vt:lpstr>
      <vt:lpstr>Exercício 4</vt:lpstr>
      <vt:lpstr>Exercício 5</vt:lpstr>
      <vt:lpstr>Exercício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 Sousa</cp:lastModifiedBy>
  <dcterms:created xsi:type="dcterms:W3CDTF">2021-03-21T23:58:51Z</dcterms:created>
  <dcterms:modified xsi:type="dcterms:W3CDTF">2021-06-07T23:15:06Z</dcterms:modified>
</cp:coreProperties>
</file>