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ioandNono\Desktop\Cyprus Tax\"/>
    </mc:Choice>
  </mc:AlternateContent>
  <xr:revisionPtr revIDLastSave="0" documentId="13_ncr:1_{49E707D8-D0F9-4806-9857-B1C6CE302593}" xr6:coauthVersionLast="47" xr6:coauthVersionMax="47" xr10:uidLastSave="{00000000-0000-0000-0000-000000000000}"/>
  <bookViews>
    <workbookView xWindow="-120" yWindow="-120" windowWidth="29040" windowHeight="15840" tabRatio="898" activeTab="13" xr2:uid="{00000000-000D-0000-FFFF-FFFF00000000}"/>
  </bookViews>
  <sheets>
    <sheet name="brackets_gross" sheetId="4" r:id="rId1"/>
    <sheet name="brackets_taxable" sheetId="17" r:id="rId2"/>
    <sheet name="minimum_wage" sheetId="7" state="hidden" r:id="rId3"/>
    <sheet name="taxable_old" sheetId="15" state="hidden" r:id="rId4"/>
    <sheet name="taxable_new" sheetId="14" state="hidden" r:id="rId5"/>
    <sheet name="taxable_difference" sheetId="16" r:id="rId6"/>
    <sheet name="hh_estimation_old" sheetId="12" state="hidden" r:id="rId7"/>
    <sheet name="hh_estimation_new" sheetId="13" state="hidden" r:id="rId8"/>
    <sheet name="cyprus_income" sheetId="5" state="hidden" r:id="rId9"/>
    <sheet name="cyprus_houses" sheetId="18" state="hidden" r:id="rId10"/>
    <sheet name="output" sheetId="8" r:id="rId11"/>
    <sheet name="budget_housing_legal" sheetId="20" r:id="rId12"/>
    <sheet name="budget_housing" sheetId="19" r:id="rId13"/>
    <sheet name="budget_income" sheetId="6" r:id="rId14"/>
  </sheets>
  <externalReferences>
    <externalReference r:id="rId15"/>
  </externalReferences>
  <definedNames>
    <definedName name="solver_adj" localSheetId="0" hidden="1">brackets_gross!$B$3</definedName>
    <definedName name="solver_adj" localSheetId="1" hidden="1">brackets_taxable!$B$3</definedName>
    <definedName name="solver_adj" localSheetId="9" hidden="1">cyprus_houses!$H$46:$H$47</definedName>
    <definedName name="solver_adj" localSheetId="8" hidden="1">cyprus_income!$E$25:$E$26</definedName>
    <definedName name="solver_adj" localSheetId="10" hidden="1">output!$E$3</definedName>
    <definedName name="solver_adj" localSheetId="5" hidden="1">taxable_difference!#REF!</definedName>
    <definedName name="solver_adj" localSheetId="4" hidden="1">taxable_new!#REF!</definedName>
    <definedName name="solver_adj" localSheetId="3" hidden="1">taxable_old!$A$27</definedName>
    <definedName name="solver_cvg" localSheetId="0" hidden="1">0.0001</definedName>
    <definedName name="solver_cvg" localSheetId="1" hidden="1">0.0001</definedName>
    <definedName name="solver_cvg" localSheetId="9" hidden="1">0.0001</definedName>
    <definedName name="solver_cvg" localSheetId="8" hidden="1">0.0001</definedName>
    <definedName name="solver_cvg" localSheetId="10" hidden="1">0.0001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9" hidden="1">1</definedName>
    <definedName name="solver_drv" localSheetId="8" hidden="1">1</definedName>
    <definedName name="solver_drv" localSheetId="10" hidden="1">1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9" hidden="1">1</definedName>
    <definedName name="solver_eng" localSheetId="8" hidden="1">1</definedName>
    <definedName name="solver_eng" localSheetId="10" hidden="1">1</definedName>
    <definedName name="solver_eng" localSheetId="5" hidden="1">1</definedName>
    <definedName name="solver_eng" localSheetId="4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9" hidden="1">1</definedName>
    <definedName name="solver_est" localSheetId="8" hidden="1">1</definedName>
    <definedName name="solver_est" localSheetId="10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9" hidden="1">2147483647</definedName>
    <definedName name="solver_itr" localSheetId="8" hidden="1">2147483647</definedName>
    <definedName name="solver_itr" localSheetId="10" hidden="1">2147483647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lhs1" localSheetId="8" hidden="1">cyprus_income!$I$12</definedName>
    <definedName name="solver_lhs1" localSheetId="10" hidden="1">output!$A$6</definedName>
    <definedName name="solver_lhs2" localSheetId="10" hidden="1">output!$D$18</definedName>
    <definedName name="solver_mip" localSheetId="0" hidden="1">2147483647</definedName>
    <definedName name="solver_mip" localSheetId="1" hidden="1">2147483647</definedName>
    <definedName name="solver_mip" localSheetId="9" hidden="1">2147483647</definedName>
    <definedName name="solver_mip" localSheetId="8" hidden="1">2147483647</definedName>
    <definedName name="solver_mip" localSheetId="10" hidden="1">2147483647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9" hidden="1">30</definedName>
    <definedName name="solver_mni" localSheetId="8" hidden="1">30</definedName>
    <definedName name="solver_mni" localSheetId="10" hidden="1">30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9" hidden="1">0.075</definedName>
    <definedName name="solver_mrt" localSheetId="8" hidden="1">0.075</definedName>
    <definedName name="solver_mrt" localSheetId="10" hidden="1">0.075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9" hidden="1">2</definedName>
    <definedName name="solver_msl" localSheetId="8" hidden="1">2</definedName>
    <definedName name="solver_msl" localSheetId="10" hidden="1">2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9" hidden="1">1</definedName>
    <definedName name="solver_neg" localSheetId="8" hidden="1">1</definedName>
    <definedName name="solver_neg" localSheetId="10" hidden="1">1</definedName>
    <definedName name="solver_neg" localSheetId="5" hidden="1">1</definedName>
    <definedName name="solver_neg" localSheetId="4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9" hidden="1">2147483647</definedName>
    <definedName name="solver_nod" localSheetId="8" hidden="1">2147483647</definedName>
    <definedName name="solver_nod" localSheetId="10" hidden="1">2147483647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9" hidden="1">0</definedName>
    <definedName name="solver_num" localSheetId="8" hidden="1">1</definedName>
    <definedName name="solver_num" localSheetId="10" hidden="1">0</definedName>
    <definedName name="solver_num" localSheetId="5" hidden="1">0</definedName>
    <definedName name="solver_num" localSheetId="4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9" hidden="1">1</definedName>
    <definedName name="solver_nwt" localSheetId="8" hidden="1">1</definedName>
    <definedName name="solver_nwt" localSheetId="10" hidden="1">1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opt" localSheetId="0" hidden="1">brackets_gross!$L$26</definedName>
    <definedName name="solver_opt" localSheetId="1" hidden="1">brackets_taxable!$L$26</definedName>
    <definedName name="solver_opt" localSheetId="9" hidden="1">cyprus_houses!$I$45</definedName>
    <definedName name="solver_opt" localSheetId="8" hidden="1">cyprus_income!$G$25</definedName>
    <definedName name="solver_opt" localSheetId="10" hidden="1">output!$E$17</definedName>
    <definedName name="solver_opt" localSheetId="5" hidden="1">taxable_difference!#REF!</definedName>
    <definedName name="solver_opt" localSheetId="4" hidden="1">taxable_new!#REF!</definedName>
    <definedName name="solver_opt" localSheetId="3" hidden="1">taxable_old!$D$27</definedName>
    <definedName name="solver_pre" localSheetId="0" hidden="1">0.000001</definedName>
    <definedName name="solver_pre" localSheetId="1" hidden="1">0.000001</definedName>
    <definedName name="solver_pre" localSheetId="9" hidden="1">0.000001</definedName>
    <definedName name="solver_pre" localSheetId="8" hidden="1">0.000001</definedName>
    <definedName name="solver_pre" localSheetId="10" hidden="1">0.000001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9" hidden="1">1</definedName>
    <definedName name="solver_rbv" localSheetId="8" hidden="1">1</definedName>
    <definedName name="solver_rbv" localSheetId="10" hidden="1">1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el1" localSheetId="8" hidden="1">3</definedName>
    <definedName name="solver_rel1" localSheetId="10" hidden="1">3</definedName>
    <definedName name="solver_rel2" localSheetId="10" hidden="1">3</definedName>
    <definedName name="solver_rhs1" localSheetId="8" hidden="1">0.0001</definedName>
    <definedName name="solver_rhs1" localSheetId="10" hidden="1">0.01</definedName>
    <definedName name="solver_rhs2" localSheetId="10" hidden="1">0.01</definedName>
    <definedName name="solver_rlx" localSheetId="0" hidden="1">2</definedName>
    <definedName name="solver_rlx" localSheetId="1" hidden="1">2</definedName>
    <definedName name="solver_rlx" localSheetId="9" hidden="1">2</definedName>
    <definedName name="solver_rlx" localSheetId="8" hidden="1">2</definedName>
    <definedName name="solver_rlx" localSheetId="10" hidden="1">2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9" hidden="1">0</definedName>
    <definedName name="solver_rsd" localSheetId="8" hidden="1">0</definedName>
    <definedName name="solver_rsd" localSheetId="10" hidden="1">0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9" hidden="1">1</definedName>
    <definedName name="solver_scl" localSheetId="8" hidden="1">1</definedName>
    <definedName name="solver_scl" localSheetId="10" hidden="1">1</definedName>
    <definedName name="solver_scl" localSheetId="5" hidden="1">1</definedName>
    <definedName name="solver_scl" localSheetId="4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9" hidden="1">2</definedName>
    <definedName name="solver_sho" localSheetId="8" hidden="1">2</definedName>
    <definedName name="solver_sho" localSheetId="10" hidden="1">2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9" hidden="1">100</definedName>
    <definedName name="solver_ssz" localSheetId="8" hidden="1">100</definedName>
    <definedName name="solver_ssz" localSheetId="10" hidden="1">100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9" hidden="1">2147483647</definedName>
    <definedName name="solver_tim" localSheetId="8" hidden="1">2147483647</definedName>
    <definedName name="solver_tim" localSheetId="10" hidden="1">2147483647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9" hidden="1">0.01</definedName>
    <definedName name="solver_tol" localSheetId="8" hidden="1">0.01</definedName>
    <definedName name="solver_tol" localSheetId="10" hidden="1">0.01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yp" localSheetId="0" hidden="1">3</definedName>
    <definedName name="solver_typ" localSheetId="1" hidden="1">3</definedName>
    <definedName name="solver_typ" localSheetId="9" hidden="1">3</definedName>
    <definedName name="solver_typ" localSheetId="8" hidden="1">3</definedName>
    <definedName name="solver_typ" localSheetId="10" hidden="1">3</definedName>
    <definedName name="solver_typ" localSheetId="5" hidden="1">3</definedName>
    <definedName name="solver_typ" localSheetId="4" hidden="1">3</definedName>
    <definedName name="solver_typ" localSheetId="3" hidden="1">3</definedName>
    <definedName name="solver_val" localSheetId="0" hidden="1">0</definedName>
    <definedName name="solver_val" localSheetId="1" hidden="1">0</definedName>
    <definedName name="solver_val" localSheetId="9" hidden="1">0</definedName>
    <definedName name="solver_val" localSheetId="8" hidden="1">0</definedName>
    <definedName name="solver_val" localSheetId="10" hidden="1">100000000</definedName>
    <definedName name="solver_val" localSheetId="5" hidden="1">35000</definedName>
    <definedName name="solver_val" localSheetId="4" hidden="1">35000</definedName>
    <definedName name="solver_val" localSheetId="3" hidden="1">60000</definedName>
    <definedName name="solver_ver" localSheetId="0" hidden="1">3</definedName>
    <definedName name="solver_ver" localSheetId="1" hidden="1">3</definedName>
    <definedName name="solver_ver" localSheetId="9" hidden="1">3</definedName>
    <definedName name="solver_ver" localSheetId="8" hidden="1">3</definedName>
    <definedName name="solver_ver" localSheetId="10" hidden="1">3</definedName>
    <definedName name="solver_ver" localSheetId="5" hidden="1">3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8" l="1"/>
  <c r="E8" i="8"/>
  <c r="F3" i="20"/>
  <c r="G3" i="20" s="1"/>
  <c r="F4" i="20"/>
  <c r="G4" i="20" s="1"/>
  <c r="F5" i="20"/>
  <c r="G5" i="20" s="1"/>
  <c r="F6" i="20"/>
  <c r="G6" i="20" s="1"/>
  <c r="F7" i="20"/>
  <c r="G7" i="20" s="1"/>
  <c r="F8" i="20"/>
  <c r="G8" i="20" s="1"/>
  <c r="F9" i="20"/>
  <c r="G9" i="20" s="1"/>
  <c r="F10" i="20"/>
  <c r="G10" i="20" s="1"/>
  <c r="F11" i="20"/>
  <c r="G11" i="20" s="1"/>
  <c r="F12" i="20"/>
  <c r="G12" i="20" s="1"/>
  <c r="F13" i="20"/>
  <c r="G13" i="20" s="1"/>
  <c r="F14" i="20"/>
  <c r="G14" i="20" s="1"/>
  <c r="F15" i="20"/>
  <c r="G15" i="20" s="1"/>
  <c r="F16" i="20"/>
  <c r="G16" i="20" s="1"/>
  <c r="F17" i="20"/>
  <c r="G17" i="20" s="1"/>
  <c r="F18" i="20"/>
  <c r="G18" i="20" s="1"/>
  <c r="F19" i="20"/>
  <c r="G19" i="20" s="1"/>
  <c r="F20" i="20"/>
  <c r="G20" i="20" s="1"/>
  <c r="F21" i="20"/>
  <c r="G21" i="20" s="1"/>
  <c r="F22" i="20"/>
  <c r="G22" i="20" s="1"/>
  <c r="F23" i="20"/>
  <c r="G23" i="20" s="1"/>
  <c r="F24" i="20"/>
  <c r="G24" i="20" s="1"/>
  <c r="F25" i="20"/>
  <c r="G25" i="20" s="1"/>
  <c r="F26" i="20"/>
  <c r="G26" i="20" s="1"/>
  <c r="F27" i="20"/>
  <c r="G27" i="20" s="1"/>
  <c r="F28" i="20"/>
  <c r="G28" i="20" s="1"/>
  <c r="F29" i="20"/>
  <c r="G29" i="20" s="1"/>
  <c r="F30" i="20"/>
  <c r="G30" i="20" s="1"/>
  <c r="F31" i="20"/>
  <c r="G31" i="20" s="1"/>
  <c r="F32" i="20"/>
  <c r="G32" i="20" s="1"/>
  <c r="F33" i="20"/>
  <c r="G33" i="20" s="1"/>
  <c r="F34" i="20"/>
  <c r="G34" i="20" s="1"/>
  <c r="F35" i="20"/>
  <c r="G35" i="20" s="1"/>
  <c r="F36" i="20"/>
  <c r="G36" i="20" s="1"/>
  <c r="F37" i="20"/>
  <c r="G37" i="20" s="1"/>
  <c r="F38" i="20"/>
  <c r="G38" i="20" s="1"/>
  <c r="F39" i="20"/>
  <c r="G39" i="20" s="1"/>
  <c r="F2" i="20"/>
  <c r="G2" i="20" s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2" i="20"/>
  <c r="C3" i="20"/>
  <c r="C4" i="20"/>
  <c r="C9" i="20"/>
  <c r="C10" i="20"/>
  <c r="C21" i="20"/>
  <c r="C22" i="20"/>
  <c r="C27" i="20"/>
  <c r="C28" i="20"/>
  <c r="C39" i="20"/>
  <c r="C2" i="20"/>
  <c r="D2" i="20" s="1"/>
  <c r="H2" i="20" s="1"/>
  <c r="C46" i="18"/>
  <c r="J20" i="8"/>
  <c r="J19" i="8"/>
  <c r="C5" i="20" s="1"/>
  <c r="A4" i="20"/>
  <c r="B3" i="20"/>
  <c r="A3" i="20"/>
  <c r="G41" i="18"/>
  <c r="G42" i="18"/>
  <c r="G43" i="18"/>
  <c r="G44" i="18"/>
  <c r="G40" i="18"/>
  <c r="B45" i="18"/>
  <c r="G45" i="18" s="1"/>
  <c r="B44" i="18"/>
  <c r="P43" i="18"/>
  <c r="B43" i="18"/>
  <c r="B42" i="18"/>
  <c r="B41" i="18"/>
  <c r="E40" i="18"/>
  <c r="E41" i="18" s="1"/>
  <c r="E42" i="18" s="1"/>
  <c r="E43" i="18" s="1"/>
  <c r="E44" i="18" s="1"/>
  <c r="E45" i="18" s="1"/>
  <c r="B40" i="18"/>
  <c r="G31" i="18"/>
  <c r="G32" i="18"/>
  <c r="G33" i="18"/>
  <c r="G35" i="18"/>
  <c r="E30" i="18"/>
  <c r="E31" i="18" s="1"/>
  <c r="E32" i="18" s="1"/>
  <c r="E33" i="18" s="1"/>
  <c r="E34" i="18" s="1"/>
  <c r="E35" i="18" s="1"/>
  <c r="B31" i="18"/>
  <c r="B32" i="18"/>
  <c r="B33" i="18"/>
  <c r="B34" i="18"/>
  <c r="G34" i="18" s="1"/>
  <c r="B35" i="18"/>
  <c r="B30" i="18"/>
  <c r="G30" i="18" s="1"/>
  <c r="H30" i="18" s="1"/>
  <c r="E5" i="18"/>
  <c r="E6" i="18"/>
  <c r="E7" i="18"/>
  <c r="E8" i="18"/>
  <c r="E9" i="18"/>
  <c r="E4" i="18"/>
  <c r="E3" i="18"/>
  <c r="H17" i="18"/>
  <c r="H18" i="18"/>
  <c r="H19" i="18"/>
  <c r="H20" i="18"/>
  <c r="H21" i="18"/>
  <c r="H22" i="18"/>
  <c r="H23" i="18"/>
  <c r="H24" i="18"/>
  <c r="H25" i="18"/>
  <c r="H26" i="18"/>
  <c r="H16" i="18"/>
  <c r="H15" i="18"/>
  <c r="C34" i="20" l="1"/>
  <c r="C16" i="20"/>
  <c r="C33" i="20"/>
  <c r="C15" i="20"/>
  <c r="C26" i="20"/>
  <c r="C37" i="20"/>
  <c r="C31" i="20"/>
  <c r="C25" i="20"/>
  <c r="C19" i="20"/>
  <c r="C13" i="20"/>
  <c r="C7" i="20"/>
  <c r="C38" i="20"/>
  <c r="C20" i="20"/>
  <c r="C8" i="20"/>
  <c r="C36" i="20"/>
  <c r="C30" i="20"/>
  <c r="C24" i="20"/>
  <c r="C18" i="20"/>
  <c r="C12" i="20"/>
  <c r="C6" i="20"/>
  <c r="C32" i="20"/>
  <c r="C14" i="20"/>
  <c r="C35" i="20"/>
  <c r="C29" i="20"/>
  <c r="C23" i="20"/>
  <c r="C17" i="20"/>
  <c r="C11" i="20"/>
  <c r="J2" i="20"/>
  <c r="D3" i="20"/>
  <c r="I2" i="20"/>
  <c r="B4" i="20"/>
  <c r="I40" i="18"/>
  <c r="I44" i="18"/>
  <c r="H44" i="18"/>
  <c r="I41" i="18"/>
  <c r="H42" i="18"/>
  <c r="I42" i="18"/>
  <c r="I43" i="18"/>
  <c r="H43" i="18"/>
  <c r="H41" i="18"/>
  <c r="H40" i="18"/>
  <c r="I32" i="18"/>
  <c r="I31" i="18"/>
  <c r="H33" i="18"/>
  <c r="H34" i="18"/>
  <c r="I34" i="18"/>
  <c r="I30" i="18"/>
  <c r="H32" i="18"/>
  <c r="H31" i="18"/>
  <c r="I33" i="18"/>
  <c r="H3" i="20" l="1"/>
  <c r="I3" i="20" s="1"/>
  <c r="A5" i="20"/>
  <c r="D4" i="20"/>
  <c r="H4" i="20" s="1"/>
  <c r="B5" i="20"/>
  <c r="I45" i="18"/>
  <c r="I35" i="18"/>
  <c r="J3" i="20" l="1"/>
  <c r="B6" i="20"/>
  <c r="A6" i="20"/>
  <c r="D5" i="20"/>
  <c r="J4" i="20"/>
  <c r="I4" i="20"/>
  <c r="H5" i="20" l="1"/>
  <c r="J5" i="20" s="1"/>
  <c r="D6" i="20"/>
  <c r="H6" i="20" s="1"/>
  <c r="B7" i="20"/>
  <c r="A7" i="20"/>
  <c r="E2" i="19"/>
  <c r="F2" i="19"/>
  <c r="G2" i="19" s="1"/>
  <c r="B3" i="19"/>
  <c r="A3" i="19"/>
  <c r="H20" i="8"/>
  <c r="H19" i="8"/>
  <c r="P33" i="18"/>
  <c r="C28" i="18"/>
  <c r="G26" i="18"/>
  <c r="B26" i="18"/>
  <c r="B25" i="18"/>
  <c r="G25" i="18" s="1"/>
  <c r="G24" i="18"/>
  <c r="B24" i="18"/>
  <c r="G23" i="18"/>
  <c r="B23" i="18"/>
  <c r="B22" i="18"/>
  <c r="B21" i="18"/>
  <c r="G21" i="18" s="1"/>
  <c r="G20" i="18"/>
  <c r="B20" i="18"/>
  <c r="B19" i="18"/>
  <c r="G19" i="18" s="1"/>
  <c r="G18" i="18"/>
  <c r="I18" i="18" s="1"/>
  <c r="B18" i="18"/>
  <c r="G17" i="18"/>
  <c r="I17" i="18" s="1"/>
  <c r="E17" i="18"/>
  <c r="E18" i="18" s="1"/>
  <c r="E19" i="18" s="1"/>
  <c r="E20" i="18" s="1"/>
  <c r="B17" i="18"/>
  <c r="E16" i="18"/>
  <c r="B16" i="18"/>
  <c r="E15" i="18"/>
  <c r="B15" i="18"/>
  <c r="B9" i="18"/>
  <c r="F9" i="18" s="1"/>
  <c r="B8" i="18"/>
  <c r="F8" i="18" s="1"/>
  <c r="F7" i="18"/>
  <c r="B7" i="18"/>
  <c r="F6" i="18"/>
  <c r="B6" i="18"/>
  <c r="F5" i="18"/>
  <c r="D5" i="18"/>
  <c r="G5" i="18" s="1"/>
  <c r="B5" i="18"/>
  <c r="D4" i="18"/>
  <c r="B4" i="18"/>
  <c r="F4" i="18" s="1"/>
  <c r="D3" i="18"/>
  <c r="B3" i="18"/>
  <c r="B11" i="8"/>
  <c r="A30" i="13"/>
  <c r="A31" i="13"/>
  <c r="B30" i="13" s="1"/>
  <c r="C30" i="13" s="1"/>
  <c r="B31" i="13"/>
  <c r="A30" i="12"/>
  <c r="A31" i="12"/>
  <c r="B30" i="12" s="1"/>
  <c r="G30" i="12" s="1"/>
  <c r="B31" i="12"/>
  <c r="C31" i="12"/>
  <c r="G31" i="12"/>
  <c r="A25" i="13"/>
  <c r="B24" i="13" s="1"/>
  <c r="A26" i="13"/>
  <c r="B25" i="13" s="1"/>
  <c r="A27" i="13"/>
  <c r="B26" i="13" s="1"/>
  <c r="A28" i="13"/>
  <c r="B27" i="13" s="1"/>
  <c r="A29" i="13"/>
  <c r="B28" i="13" s="1"/>
  <c r="B29" i="13"/>
  <c r="C29" i="13" s="1"/>
  <c r="A28" i="12"/>
  <c r="A29" i="12"/>
  <c r="B28" i="12" s="1"/>
  <c r="G28" i="12" s="1"/>
  <c r="B29" i="12"/>
  <c r="B27" i="12"/>
  <c r="C25" i="12"/>
  <c r="G25" i="12"/>
  <c r="H25" i="12" s="1"/>
  <c r="C26" i="12"/>
  <c r="G26" i="12"/>
  <c r="H26" i="12" s="1"/>
  <c r="B24" i="12"/>
  <c r="B25" i="12"/>
  <c r="B26" i="12"/>
  <c r="A25" i="12"/>
  <c r="A26" i="12"/>
  <c r="A27" i="12"/>
  <c r="K34" i="12"/>
  <c r="G34" i="13" s="1"/>
  <c r="J34" i="12"/>
  <c r="F34" i="13" s="1"/>
  <c r="I34" i="12"/>
  <c r="E34" i="13" s="1"/>
  <c r="H34" i="12"/>
  <c r="D34" i="13" s="1"/>
  <c r="G34" i="12"/>
  <c r="C34" i="13" s="1"/>
  <c r="J33" i="12"/>
  <c r="F33" i="13" s="1"/>
  <c r="I33" i="12"/>
  <c r="E33" i="13" s="1"/>
  <c r="H33" i="12"/>
  <c r="D33" i="13" s="1"/>
  <c r="G33" i="12"/>
  <c r="C33" i="13" s="1"/>
  <c r="L34" i="13"/>
  <c r="C35" i="12"/>
  <c r="K35" i="13" s="1"/>
  <c r="C34" i="12"/>
  <c r="K34" i="13" s="1"/>
  <c r="A35" i="12"/>
  <c r="A34" i="12"/>
  <c r="H11" i="8"/>
  <c r="H12" i="8"/>
  <c r="H13" i="8"/>
  <c r="H10" i="8"/>
  <c r="H9" i="8"/>
  <c r="H4" i="8"/>
  <c r="H5" i="8"/>
  <c r="H6" i="8"/>
  <c r="H2" i="8"/>
  <c r="H3" i="8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11" i="17"/>
  <c r="B17" i="8"/>
  <c r="N34" i="13" s="1"/>
  <c r="Q14" i="14"/>
  <c r="R13" i="14"/>
  <c r="S13" i="14"/>
  <c r="Q13" i="14"/>
  <c r="C2" i="8"/>
  <c r="R14" i="14" s="1"/>
  <c r="D2" i="8"/>
  <c r="M2" i="16" s="1"/>
  <c r="B22" i="8"/>
  <c r="B21" i="8"/>
  <c r="D18" i="8"/>
  <c r="D17" i="8"/>
  <c r="P11" i="15"/>
  <c r="Q11" i="15"/>
  <c r="R11" i="15"/>
  <c r="Q10" i="15"/>
  <c r="R10" i="15"/>
  <c r="P10" i="15"/>
  <c r="U8" i="15"/>
  <c r="T8" i="15"/>
  <c r="S8" i="15"/>
  <c r="R8" i="15"/>
  <c r="Q8" i="15"/>
  <c r="T7" i="15"/>
  <c r="U6" i="15" s="1"/>
  <c r="S7" i="15"/>
  <c r="T6" i="15" s="1"/>
  <c r="R7" i="15"/>
  <c r="S6" i="15" s="1"/>
  <c r="Q7" i="15"/>
  <c r="D4" i="17"/>
  <c r="D5" i="17"/>
  <c r="D6" i="17"/>
  <c r="F7" i="17" s="1"/>
  <c r="D3" i="17"/>
  <c r="B4" i="17"/>
  <c r="B5" i="17"/>
  <c r="B6" i="17"/>
  <c r="B7" i="17"/>
  <c r="B3" i="17"/>
  <c r="A4" i="17"/>
  <c r="Q6" i="14" s="1"/>
  <c r="A5" i="17"/>
  <c r="R6" i="14" s="1"/>
  <c r="A6" i="17"/>
  <c r="S6" i="14" s="1"/>
  <c r="A7" i="17"/>
  <c r="A3" i="17"/>
  <c r="P6" i="14" s="1"/>
  <c r="B4" i="4"/>
  <c r="Q7" i="14" s="1"/>
  <c r="B5" i="4"/>
  <c r="R7" i="14" s="1"/>
  <c r="B6" i="4"/>
  <c r="S7" i="14" s="1"/>
  <c r="B7" i="4"/>
  <c r="T7" i="14" s="1"/>
  <c r="B3" i="4"/>
  <c r="P7" i="14" s="1"/>
  <c r="A5" i="4"/>
  <c r="A6" i="4"/>
  <c r="A7" i="4"/>
  <c r="T6" i="14" s="1"/>
  <c r="A3" i="4"/>
  <c r="E33" i="6"/>
  <c r="D34" i="6" s="1"/>
  <c r="E34" i="6"/>
  <c r="D35" i="6" s="1"/>
  <c r="E35" i="6"/>
  <c r="D36" i="6" s="1"/>
  <c r="E36" i="6"/>
  <c r="A36" i="6" s="1"/>
  <c r="A36" i="16"/>
  <c r="A37" i="16"/>
  <c r="A38" i="16"/>
  <c r="B38" i="16"/>
  <c r="C38" i="16"/>
  <c r="E38" i="16"/>
  <c r="F38" i="16"/>
  <c r="H38" i="16"/>
  <c r="I38" i="16"/>
  <c r="A33" i="16"/>
  <c r="A34" i="16"/>
  <c r="A35" i="16"/>
  <c r="A37" i="15"/>
  <c r="C37" i="15" s="1"/>
  <c r="A33" i="15"/>
  <c r="B33" i="15" s="1"/>
  <c r="A34" i="15"/>
  <c r="B34" i="15" s="1"/>
  <c r="A35" i="15"/>
  <c r="B35" i="15" s="1"/>
  <c r="A36" i="15"/>
  <c r="B36" i="15" s="1"/>
  <c r="A36" i="14"/>
  <c r="B36" i="14" s="1"/>
  <c r="A37" i="14"/>
  <c r="A33" i="14"/>
  <c r="A34" i="14"/>
  <c r="A35" i="14"/>
  <c r="A13" i="4"/>
  <c r="A4" i="14" s="1"/>
  <c r="A4" i="7"/>
  <c r="K2" i="16"/>
  <c r="A3" i="16"/>
  <c r="A2" i="16"/>
  <c r="A3" i="14"/>
  <c r="A2" i="14"/>
  <c r="A3" i="15"/>
  <c r="B3" i="15" s="1"/>
  <c r="A2" i="15"/>
  <c r="A1" i="7"/>
  <c r="A3" i="7"/>
  <c r="G3" i="7" s="1"/>
  <c r="A2" i="7"/>
  <c r="G2" i="7" s="1"/>
  <c r="E2" i="6"/>
  <c r="D3" i="6" s="1"/>
  <c r="E30" i="5"/>
  <c r="G30" i="5" s="1"/>
  <c r="E31" i="5"/>
  <c r="G31" i="5" s="1"/>
  <c r="E32" i="5"/>
  <c r="G32" i="5" s="1"/>
  <c r="E29" i="5"/>
  <c r="G29" i="5" s="1"/>
  <c r="F30" i="5"/>
  <c r="F31" i="5"/>
  <c r="F32" i="5"/>
  <c r="F29" i="5"/>
  <c r="D29" i="5"/>
  <c r="D30" i="5" s="1"/>
  <c r="D31" i="5" s="1"/>
  <c r="D32" i="5" s="1"/>
  <c r="D33" i="5" s="1"/>
  <c r="A31" i="5"/>
  <c r="A32" i="5"/>
  <c r="A33" i="5"/>
  <c r="A30" i="5"/>
  <c r="D16" i="5"/>
  <c r="F16" i="5" s="1"/>
  <c r="D17" i="5"/>
  <c r="F17" i="5" s="1"/>
  <c r="D18" i="5"/>
  <c r="F18" i="5" s="1"/>
  <c r="D19" i="5"/>
  <c r="F19" i="5" s="1"/>
  <c r="D20" i="5"/>
  <c r="F20" i="5" s="1"/>
  <c r="D21" i="5"/>
  <c r="F21" i="5" s="1"/>
  <c r="D22" i="5"/>
  <c r="F22" i="5" s="1"/>
  <c r="D23" i="5"/>
  <c r="F23" i="5" s="1"/>
  <c r="D24" i="5"/>
  <c r="F24" i="5" s="1"/>
  <c r="D15" i="5"/>
  <c r="F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15" i="5"/>
  <c r="G15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B11" i="5"/>
  <c r="D2" i="5"/>
  <c r="E2" i="5"/>
  <c r="G2" i="5" s="1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A3" i="13"/>
  <c r="X2" i="13"/>
  <c r="N2" i="13"/>
  <c r="A2" i="13"/>
  <c r="X2" i="12"/>
  <c r="N2" i="12"/>
  <c r="A2" i="12"/>
  <c r="G2" i="12" s="1"/>
  <c r="A3" i="12"/>
  <c r="B35" i="12"/>
  <c r="J35" i="13" s="1"/>
  <c r="B34" i="12"/>
  <c r="G11" i="4"/>
  <c r="F11" i="4" s="1"/>
  <c r="G12" i="4"/>
  <c r="B1" i="7"/>
  <c r="C1" i="7"/>
  <c r="D1" i="7"/>
  <c r="A2" i="5"/>
  <c r="A3" i="5" s="1"/>
  <c r="F7" i="4"/>
  <c r="F5" i="4"/>
  <c r="F6" i="4"/>
  <c r="F4" i="4"/>
  <c r="F3" i="4"/>
  <c r="H16" i="8" l="1"/>
  <c r="A4" i="4"/>
  <c r="D12" i="4" s="1"/>
  <c r="C12" i="4" s="1"/>
  <c r="I5" i="20"/>
  <c r="C2" i="19"/>
  <c r="D2" i="19" s="1"/>
  <c r="H2" i="19" s="1"/>
  <c r="J2" i="19" s="1"/>
  <c r="I6" i="20"/>
  <c r="A8" i="20"/>
  <c r="D7" i="20"/>
  <c r="H7" i="20" s="1"/>
  <c r="B8" i="20"/>
  <c r="J6" i="20"/>
  <c r="C3" i="19"/>
  <c r="E3" i="19"/>
  <c r="F3" i="19"/>
  <c r="G3" i="19" s="1"/>
  <c r="A4" i="19"/>
  <c r="B4" i="19"/>
  <c r="E4" i="19" s="1"/>
  <c r="I21" i="18"/>
  <c r="G4" i="18"/>
  <c r="E21" i="18"/>
  <c r="E22" i="18" s="1"/>
  <c r="E23" i="18" s="1"/>
  <c r="E24" i="18" s="1"/>
  <c r="E25" i="18" s="1"/>
  <c r="E26" i="18" s="1"/>
  <c r="I20" i="18"/>
  <c r="I19" i="18"/>
  <c r="I25" i="18"/>
  <c r="I23" i="18"/>
  <c r="F3" i="18"/>
  <c r="G3" i="18" s="1"/>
  <c r="D6" i="18"/>
  <c r="G16" i="18"/>
  <c r="I16" i="18" s="1"/>
  <c r="G22" i="18"/>
  <c r="I22" i="18" s="1"/>
  <c r="G15" i="18"/>
  <c r="I15" i="18" s="1"/>
  <c r="S5" i="14"/>
  <c r="S4" i="14" s="1"/>
  <c r="R5" i="14"/>
  <c r="R4" i="14" s="1"/>
  <c r="P25" i="12"/>
  <c r="D25" i="12"/>
  <c r="D26" i="12"/>
  <c r="J34" i="13"/>
  <c r="D26" i="13" s="1"/>
  <c r="P27" i="12"/>
  <c r="P30" i="12"/>
  <c r="D27" i="12"/>
  <c r="G35" i="12"/>
  <c r="S31" i="12" s="1"/>
  <c r="P26" i="12"/>
  <c r="J35" i="12"/>
  <c r="V25" i="12" s="1"/>
  <c r="P30" i="13"/>
  <c r="W25" i="12"/>
  <c r="W31" i="12"/>
  <c r="D30" i="12"/>
  <c r="H35" i="12"/>
  <c r="T25" i="12" s="1"/>
  <c r="W26" i="12"/>
  <c r="P29" i="12"/>
  <c r="I35" i="12"/>
  <c r="U25" i="12" s="1"/>
  <c r="D29" i="12"/>
  <c r="G29" i="12"/>
  <c r="H29" i="12" s="1"/>
  <c r="C3" i="14"/>
  <c r="S14" i="14"/>
  <c r="G30" i="13"/>
  <c r="H30" i="13" s="1"/>
  <c r="W30" i="13"/>
  <c r="P31" i="13"/>
  <c r="C31" i="13"/>
  <c r="H30" i="12"/>
  <c r="P31" i="12"/>
  <c r="D31" i="12"/>
  <c r="H31" i="12"/>
  <c r="C30" i="12"/>
  <c r="B34" i="14"/>
  <c r="I15" i="8"/>
  <c r="B33" i="14"/>
  <c r="L2" i="16"/>
  <c r="B37" i="14"/>
  <c r="C35" i="13"/>
  <c r="S29" i="13" s="1"/>
  <c r="P29" i="13"/>
  <c r="C28" i="13"/>
  <c r="P27" i="13"/>
  <c r="P28" i="13"/>
  <c r="W29" i="13"/>
  <c r="G29" i="13"/>
  <c r="H29" i="13" s="1"/>
  <c r="G28" i="13"/>
  <c r="H28" i="13" s="1"/>
  <c r="C25" i="13"/>
  <c r="C27" i="13"/>
  <c r="P26" i="13"/>
  <c r="C26" i="13"/>
  <c r="P25" i="13"/>
  <c r="H28" i="12"/>
  <c r="C29" i="12"/>
  <c r="P28" i="12"/>
  <c r="D28" i="12"/>
  <c r="C28" i="12"/>
  <c r="C27" i="12"/>
  <c r="G27" i="12"/>
  <c r="H27" i="12" s="1"/>
  <c r="M27" i="12" s="1"/>
  <c r="M26" i="12"/>
  <c r="M25" i="12"/>
  <c r="P3" i="13"/>
  <c r="P2" i="13"/>
  <c r="Q2" i="13" s="1"/>
  <c r="R2" i="13" s="1"/>
  <c r="P3" i="12"/>
  <c r="B15" i="8"/>
  <c r="B16" i="8" s="1"/>
  <c r="B23" i="8"/>
  <c r="C34" i="14"/>
  <c r="C35" i="14"/>
  <c r="G3" i="5"/>
  <c r="C7" i="4"/>
  <c r="C5" i="17"/>
  <c r="J38" i="16"/>
  <c r="C6" i="17"/>
  <c r="C7" i="17"/>
  <c r="C4" i="17"/>
  <c r="C3" i="17"/>
  <c r="B35" i="14"/>
  <c r="C36" i="14"/>
  <c r="E36" i="14" s="1"/>
  <c r="B37" i="15"/>
  <c r="E37" i="15" s="1"/>
  <c r="A34" i="6"/>
  <c r="C37" i="14"/>
  <c r="A35" i="6"/>
  <c r="C33" i="14"/>
  <c r="A33" i="6"/>
  <c r="C3" i="4"/>
  <c r="Q5" i="14"/>
  <c r="F4" i="17"/>
  <c r="F5" i="17"/>
  <c r="F6" i="17"/>
  <c r="F3" i="17"/>
  <c r="G38" i="16"/>
  <c r="C36" i="15"/>
  <c r="E36" i="15" s="1"/>
  <c r="C34" i="15"/>
  <c r="D34" i="15" s="1"/>
  <c r="D38" i="16"/>
  <c r="C35" i="15"/>
  <c r="E35" i="15" s="1"/>
  <c r="C33" i="15"/>
  <c r="E33" i="15" s="1"/>
  <c r="A4" i="13"/>
  <c r="B3" i="13" s="1"/>
  <c r="C3" i="13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G13" i="4"/>
  <c r="F13" i="4" s="1"/>
  <c r="A4" i="12"/>
  <c r="P4" i="12" s="1"/>
  <c r="E3" i="6"/>
  <c r="F3" i="7" s="1"/>
  <c r="A4" i="15"/>
  <c r="B4" i="15" s="1"/>
  <c r="A4" i="16"/>
  <c r="U5" i="15"/>
  <c r="Q5" i="15"/>
  <c r="T5" i="14"/>
  <c r="T4" i="14" s="1"/>
  <c r="C3" i="15"/>
  <c r="S5" i="15"/>
  <c r="B2" i="15"/>
  <c r="T5" i="15"/>
  <c r="C2" i="15"/>
  <c r="R6" i="15"/>
  <c r="G25" i="5"/>
  <c r="H30" i="5"/>
  <c r="H29" i="5"/>
  <c r="H34" i="5" s="1"/>
  <c r="H32" i="5"/>
  <c r="H31" i="5"/>
  <c r="B3" i="14"/>
  <c r="G34" i="5"/>
  <c r="F25" i="5"/>
  <c r="B2" i="14"/>
  <c r="C2" i="14"/>
  <c r="E35" i="13"/>
  <c r="U28" i="13" s="1"/>
  <c r="F35" i="13"/>
  <c r="V29" i="13" s="1"/>
  <c r="D35" i="13"/>
  <c r="T29" i="13" s="1"/>
  <c r="G2" i="13"/>
  <c r="B2" i="13"/>
  <c r="C2" i="13" s="1"/>
  <c r="P2" i="12"/>
  <c r="Q2" i="12" s="1"/>
  <c r="R2" i="12" s="1"/>
  <c r="Y2" i="12" s="1"/>
  <c r="D2" i="12"/>
  <c r="E2" i="12" s="1"/>
  <c r="D3" i="12"/>
  <c r="B2" i="12"/>
  <c r="C2" i="12" s="1"/>
  <c r="F12" i="4"/>
  <c r="D13" i="4"/>
  <c r="C13" i="4" s="1"/>
  <c r="C6" i="4"/>
  <c r="E3" i="7"/>
  <c r="P33" i="5"/>
  <c r="F10" i="5"/>
  <c r="F9" i="5"/>
  <c r="F4" i="5"/>
  <c r="F3" i="5"/>
  <c r="F7" i="5"/>
  <c r="F6" i="5"/>
  <c r="F8" i="5"/>
  <c r="F2" i="5"/>
  <c r="F5" i="5"/>
  <c r="A2" i="6"/>
  <c r="G4" i="7"/>
  <c r="A4" i="5"/>
  <c r="G4" i="5" s="1"/>
  <c r="E9" i="4"/>
  <c r="D9" i="4" s="1"/>
  <c r="I29" i="12" l="1"/>
  <c r="C5" i="4"/>
  <c r="D3" i="19"/>
  <c r="H3" i="19" s="1"/>
  <c r="I3" i="19" s="1"/>
  <c r="C4" i="4"/>
  <c r="D11" i="4"/>
  <c r="I11" i="4" s="1"/>
  <c r="I7" i="20"/>
  <c r="B9" i="20"/>
  <c r="A9" i="20"/>
  <c r="D8" i="20"/>
  <c r="J7" i="20"/>
  <c r="I2" i="19"/>
  <c r="C4" i="19"/>
  <c r="D4" i="19" s="1"/>
  <c r="H4" i="19" s="1"/>
  <c r="I4" i="19" s="1"/>
  <c r="F4" i="19"/>
  <c r="G4" i="19" s="1"/>
  <c r="B5" i="19"/>
  <c r="E5" i="19" s="1"/>
  <c r="A5" i="19"/>
  <c r="G6" i="18"/>
  <c r="D7" i="18"/>
  <c r="E27" i="18"/>
  <c r="I26" i="18"/>
  <c r="I24" i="18"/>
  <c r="I27" i="18" s="1"/>
  <c r="I25" i="12"/>
  <c r="Q4" i="12"/>
  <c r="R4" i="12" s="1"/>
  <c r="S27" i="12"/>
  <c r="Q30" i="12"/>
  <c r="R30" i="12" s="1"/>
  <c r="Q31" i="12"/>
  <c r="R31" i="12" s="1"/>
  <c r="V26" i="12"/>
  <c r="Q26" i="12"/>
  <c r="R26" i="12" s="1"/>
  <c r="E27" i="12"/>
  <c r="F27" i="12" s="1"/>
  <c r="T27" i="12"/>
  <c r="S25" i="12"/>
  <c r="X25" i="12" s="1"/>
  <c r="I26" i="12"/>
  <c r="E31" i="12"/>
  <c r="F31" i="12" s="1"/>
  <c r="Q30" i="13"/>
  <c r="R30" i="13" s="1"/>
  <c r="D29" i="13"/>
  <c r="D31" i="13"/>
  <c r="J29" i="12"/>
  <c r="Q31" i="13"/>
  <c r="R31" i="13" s="1"/>
  <c r="L27" i="12"/>
  <c r="K25" i="12"/>
  <c r="D25" i="13"/>
  <c r="E26" i="13" s="1"/>
  <c r="E26" i="12"/>
  <c r="F26" i="12" s="1"/>
  <c r="L25" i="12"/>
  <c r="D27" i="13"/>
  <c r="E27" i="13" s="1"/>
  <c r="V31" i="12"/>
  <c r="S30" i="13"/>
  <c r="D30" i="13"/>
  <c r="D2" i="13"/>
  <c r="E2" i="13" s="1"/>
  <c r="S26" i="12"/>
  <c r="L26" i="12"/>
  <c r="I27" i="12"/>
  <c r="D28" i="13"/>
  <c r="D3" i="13"/>
  <c r="K26" i="12"/>
  <c r="V27" i="12"/>
  <c r="Q27" i="12"/>
  <c r="R27" i="12" s="1"/>
  <c r="U26" i="12"/>
  <c r="U31" i="12"/>
  <c r="J25" i="12"/>
  <c r="T26" i="12"/>
  <c r="J26" i="12"/>
  <c r="M29" i="12"/>
  <c r="T30" i="13"/>
  <c r="E30" i="12"/>
  <c r="F30" i="12" s="1"/>
  <c r="U30" i="13"/>
  <c r="J27" i="12"/>
  <c r="L29" i="12"/>
  <c r="Q29" i="13"/>
  <c r="R29" i="13" s="1"/>
  <c r="T31" i="12"/>
  <c r="K29" i="12"/>
  <c r="V30" i="13"/>
  <c r="D3" i="14"/>
  <c r="C3" i="16" s="1"/>
  <c r="D34" i="14"/>
  <c r="B43" i="4" s="1"/>
  <c r="S31" i="13"/>
  <c r="G31" i="13"/>
  <c r="H31" i="13" s="1"/>
  <c r="T31" i="13"/>
  <c r="W31" i="13"/>
  <c r="U31" i="13"/>
  <c r="V31" i="13"/>
  <c r="M30" i="13"/>
  <c r="I30" i="13"/>
  <c r="J30" i="13"/>
  <c r="K30" i="13"/>
  <c r="L30" i="13"/>
  <c r="L31" i="12"/>
  <c r="I31" i="12"/>
  <c r="M31" i="12"/>
  <c r="J31" i="12"/>
  <c r="K31" i="12"/>
  <c r="S30" i="12"/>
  <c r="V30" i="12"/>
  <c r="T30" i="12"/>
  <c r="U30" i="12"/>
  <c r="W30" i="12"/>
  <c r="M30" i="12"/>
  <c r="I30" i="12"/>
  <c r="J30" i="12"/>
  <c r="K30" i="12"/>
  <c r="L30" i="12"/>
  <c r="S28" i="13"/>
  <c r="M34" i="13"/>
  <c r="E33" i="14"/>
  <c r="E37" i="14"/>
  <c r="W28" i="13"/>
  <c r="Q28" i="13"/>
  <c r="R28" i="13" s="1"/>
  <c r="U29" i="13"/>
  <c r="X29" i="13" s="1"/>
  <c r="T28" i="13"/>
  <c r="V28" i="13"/>
  <c r="G25" i="13"/>
  <c r="H25" i="13" s="1"/>
  <c r="S25" i="13"/>
  <c r="T25" i="13"/>
  <c r="U25" i="13"/>
  <c r="V25" i="13"/>
  <c r="W25" i="13"/>
  <c r="I29" i="13"/>
  <c r="J29" i="13"/>
  <c r="K29" i="13"/>
  <c r="L29" i="13"/>
  <c r="M29" i="13"/>
  <c r="S26" i="13"/>
  <c r="G26" i="13"/>
  <c r="H26" i="13" s="1"/>
  <c r="T26" i="13"/>
  <c r="U26" i="13"/>
  <c r="W26" i="13"/>
  <c r="V26" i="13"/>
  <c r="Q26" i="13"/>
  <c r="R26" i="13" s="1"/>
  <c r="J28" i="13"/>
  <c r="K28" i="13"/>
  <c r="L28" i="13"/>
  <c r="M28" i="13"/>
  <c r="I28" i="13"/>
  <c r="W27" i="13"/>
  <c r="G27" i="13"/>
  <c r="H27" i="13" s="1"/>
  <c r="S27" i="13"/>
  <c r="T27" i="13"/>
  <c r="U27" i="13"/>
  <c r="V27" i="13"/>
  <c r="Q27" i="13"/>
  <c r="R27" i="13" s="1"/>
  <c r="S28" i="12"/>
  <c r="T28" i="12"/>
  <c r="U28" i="12"/>
  <c r="V28" i="12"/>
  <c r="W28" i="12"/>
  <c r="E29" i="12"/>
  <c r="F29" i="12" s="1"/>
  <c r="E28" i="12"/>
  <c r="F28" i="12" s="1"/>
  <c r="Q29" i="12"/>
  <c r="R29" i="12" s="1"/>
  <c r="Q28" i="12"/>
  <c r="R28" i="12" s="1"/>
  <c r="K27" i="12"/>
  <c r="S29" i="12"/>
  <c r="W29" i="12"/>
  <c r="T29" i="12"/>
  <c r="U29" i="12"/>
  <c r="V29" i="12"/>
  <c r="W27" i="12"/>
  <c r="M28" i="12"/>
  <c r="L28" i="12"/>
  <c r="I28" i="12"/>
  <c r="J28" i="12"/>
  <c r="K28" i="12"/>
  <c r="U27" i="12"/>
  <c r="Q3" i="13"/>
  <c r="R3" i="13" s="1"/>
  <c r="E35" i="14"/>
  <c r="E34" i="14"/>
  <c r="C9" i="17"/>
  <c r="B9" i="17" s="1"/>
  <c r="D35" i="14"/>
  <c r="M35" i="14" s="1"/>
  <c r="D37" i="14"/>
  <c r="B46" i="4" s="1"/>
  <c r="D37" i="15"/>
  <c r="M37" i="15" s="1"/>
  <c r="D36" i="14"/>
  <c r="M36" i="14" s="1"/>
  <c r="B34" i="6"/>
  <c r="C34" i="6" s="1"/>
  <c r="D35" i="15"/>
  <c r="J35" i="15" s="1"/>
  <c r="B36" i="6"/>
  <c r="C36" i="6" s="1"/>
  <c r="B35" i="6"/>
  <c r="C35" i="6" s="1"/>
  <c r="D36" i="15"/>
  <c r="E45" i="4" s="1"/>
  <c r="D33" i="14"/>
  <c r="N33" i="14" s="1"/>
  <c r="P4" i="14"/>
  <c r="E9" i="17"/>
  <c r="D9" i="17" s="1"/>
  <c r="Q4" i="14"/>
  <c r="E43" i="4"/>
  <c r="B34" i="16"/>
  <c r="E43" i="17"/>
  <c r="N34" i="15"/>
  <c r="J34" i="15"/>
  <c r="L34" i="15"/>
  <c r="M34" i="15"/>
  <c r="E34" i="15"/>
  <c r="D33" i="15"/>
  <c r="P4" i="13"/>
  <c r="Q4" i="13" s="1"/>
  <c r="D4" i="13"/>
  <c r="B3" i="12"/>
  <c r="C3" i="12" s="1"/>
  <c r="S3" i="12" s="1"/>
  <c r="D4" i="12"/>
  <c r="E4" i="12" s="1"/>
  <c r="E2" i="15"/>
  <c r="A42" i="4"/>
  <c r="E31" i="6"/>
  <c r="H13" i="4"/>
  <c r="C4" i="15"/>
  <c r="E4" i="15" s="1"/>
  <c r="A5" i="13"/>
  <c r="D5" i="13" s="1"/>
  <c r="A5" i="15"/>
  <c r="C5" i="15" s="1"/>
  <c r="D14" i="4"/>
  <c r="C14" i="4" s="1"/>
  <c r="A5" i="7"/>
  <c r="G5" i="7" s="1"/>
  <c r="G14" i="4"/>
  <c r="A3" i="6"/>
  <c r="B3" i="7" s="1"/>
  <c r="A5" i="12"/>
  <c r="D5" i="12" s="1"/>
  <c r="D4" i="6"/>
  <c r="E4" i="7" s="1"/>
  <c r="A5" i="14"/>
  <c r="B5" i="14" s="1"/>
  <c r="E4" i="6"/>
  <c r="F4" i="7" s="1"/>
  <c r="A5" i="16"/>
  <c r="G15" i="4"/>
  <c r="D15" i="4"/>
  <c r="A6" i="12"/>
  <c r="E5" i="6"/>
  <c r="F5" i="7" s="1"/>
  <c r="A6" i="14"/>
  <c r="A6" i="7"/>
  <c r="G6" i="7" s="1"/>
  <c r="A6" i="15"/>
  <c r="A6" i="13"/>
  <c r="A6" i="16"/>
  <c r="E2" i="14"/>
  <c r="D3" i="15"/>
  <c r="E3" i="15"/>
  <c r="E3" i="14"/>
  <c r="D2" i="15"/>
  <c r="C4" i="14"/>
  <c r="R5" i="15"/>
  <c r="K34" i="15" s="1"/>
  <c r="B4" i="14"/>
  <c r="F11" i="5"/>
  <c r="D2" i="14"/>
  <c r="I13" i="4"/>
  <c r="I12" i="4"/>
  <c r="G3" i="13"/>
  <c r="H3" i="13" s="1"/>
  <c r="J3" i="13" s="1"/>
  <c r="S3" i="13"/>
  <c r="T3" i="13"/>
  <c r="Q3" i="12"/>
  <c r="R3" i="12" s="1"/>
  <c r="F2" i="12"/>
  <c r="O2" i="12" s="1"/>
  <c r="E3" i="12"/>
  <c r="H12" i="4"/>
  <c r="B2" i="6"/>
  <c r="C2" i="6" s="1"/>
  <c r="B2" i="7"/>
  <c r="A5" i="5"/>
  <c r="G5" i="5" s="1"/>
  <c r="C9" i="4" l="1"/>
  <c r="B9" i="4" s="1"/>
  <c r="J3" i="19"/>
  <c r="C11" i="4"/>
  <c r="H11" i="4" s="1"/>
  <c r="H8" i="20"/>
  <c r="J8" i="20" s="1"/>
  <c r="D9" i="20"/>
  <c r="H9" i="20" s="1"/>
  <c r="B10" i="20"/>
  <c r="A10" i="20"/>
  <c r="C5" i="19"/>
  <c r="D5" i="19" s="1"/>
  <c r="F5" i="19"/>
  <c r="G5" i="19" s="1"/>
  <c r="B6" i="19"/>
  <c r="E6" i="19" s="1"/>
  <c r="A6" i="19"/>
  <c r="J4" i="19"/>
  <c r="D8" i="18"/>
  <c r="G7" i="18"/>
  <c r="E5" i="12"/>
  <c r="F5" i="12" s="1"/>
  <c r="E30" i="13"/>
  <c r="F30" i="13" s="1"/>
  <c r="E4" i="13"/>
  <c r="F4" i="13" s="1"/>
  <c r="E31" i="13"/>
  <c r="F31" i="13" s="1"/>
  <c r="X26" i="12"/>
  <c r="Y26" i="12" s="1"/>
  <c r="E28" i="13"/>
  <c r="F28" i="13" s="1"/>
  <c r="X31" i="12"/>
  <c r="Y31" i="12" s="1"/>
  <c r="E3" i="13"/>
  <c r="F3" i="13" s="1"/>
  <c r="X27" i="12"/>
  <c r="Y27" i="12" s="1"/>
  <c r="Y29" i="13"/>
  <c r="N25" i="12"/>
  <c r="N26" i="12"/>
  <c r="O26" i="12" s="1"/>
  <c r="E29" i="13"/>
  <c r="F29" i="13" s="1"/>
  <c r="N29" i="12"/>
  <c r="O29" i="12" s="1"/>
  <c r="X30" i="13"/>
  <c r="Y30" i="13" s="1"/>
  <c r="N27" i="12"/>
  <c r="O27" i="12" s="1"/>
  <c r="L3" i="14"/>
  <c r="B12" i="17"/>
  <c r="M3" i="14"/>
  <c r="N3" i="14"/>
  <c r="B12" i="4"/>
  <c r="M34" i="14"/>
  <c r="N34" i="14"/>
  <c r="B43" i="17"/>
  <c r="L34" i="14"/>
  <c r="C34" i="16"/>
  <c r="D34" i="16" s="1"/>
  <c r="N30" i="13"/>
  <c r="L31" i="13"/>
  <c r="M31" i="13"/>
  <c r="K31" i="13"/>
  <c r="I31" i="13"/>
  <c r="J31" i="13"/>
  <c r="X31" i="13"/>
  <c r="Y31" i="13" s="1"/>
  <c r="N31" i="12"/>
  <c r="O31" i="12" s="1"/>
  <c r="N30" i="12"/>
  <c r="O30" i="12" s="1"/>
  <c r="X30" i="12"/>
  <c r="Y30" i="12" s="1"/>
  <c r="F2" i="13"/>
  <c r="O2" i="13" s="1"/>
  <c r="F26" i="13"/>
  <c r="F27" i="13"/>
  <c r="X28" i="13"/>
  <c r="Y28" i="13" s="1"/>
  <c r="L26" i="13"/>
  <c r="M26" i="13"/>
  <c r="I26" i="13"/>
  <c r="J26" i="13"/>
  <c r="K26" i="13"/>
  <c r="N28" i="13"/>
  <c r="N29" i="13"/>
  <c r="X25" i="13"/>
  <c r="K27" i="13"/>
  <c r="L27" i="13"/>
  <c r="M27" i="13"/>
  <c r="I27" i="13"/>
  <c r="J27" i="13"/>
  <c r="X26" i="13"/>
  <c r="Y26" i="13" s="1"/>
  <c r="X27" i="13"/>
  <c r="Y27" i="13" s="1"/>
  <c r="M25" i="13"/>
  <c r="I25" i="13"/>
  <c r="J25" i="13"/>
  <c r="L25" i="13"/>
  <c r="K25" i="13"/>
  <c r="N28" i="12"/>
  <c r="O28" i="12" s="1"/>
  <c r="X28" i="12"/>
  <c r="Y28" i="12" s="1"/>
  <c r="X29" i="12"/>
  <c r="Y29" i="12" s="1"/>
  <c r="T3" i="12"/>
  <c r="X3" i="12" s="1"/>
  <c r="Y3" i="12" s="1"/>
  <c r="B44" i="17"/>
  <c r="N35" i="14"/>
  <c r="B44" i="4"/>
  <c r="N36" i="14"/>
  <c r="L35" i="14"/>
  <c r="C35" i="16"/>
  <c r="E45" i="17"/>
  <c r="N36" i="15"/>
  <c r="M36" i="15"/>
  <c r="L36" i="15"/>
  <c r="L37" i="14"/>
  <c r="N37" i="14"/>
  <c r="R4" i="13"/>
  <c r="B46" i="17"/>
  <c r="L35" i="15"/>
  <c r="B37" i="16"/>
  <c r="M37" i="14"/>
  <c r="C37" i="16"/>
  <c r="Y2" i="13"/>
  <c r="J36" i="15"/>
  <c r="B36" i="16"/>
  <c r="N35" i="15"/>
  <c r="E44" i="4"/>
  <c r="M33" i="14"/>
  <c r="E44" i="17"/>
  <c r="B35" i="16"/>
  <c r="M35" i="15"/>
  <c r="E46" i="17"/>
  <c r="K36" i="14"/>
  <c r="J37" i="15"/>
  <c r="E46" i="4"/>
  <c r="N37" i="15"/>
  <c r="L37" i="15"/>
  <c r="C36" i="16"/>
  <c r="B45" i="4"/>
  <c r="B45" i="17"/>
  <c r="D4" i="15"/>
  <c r="N4" i="15" s="1"/>
  <c r="L36" i="14"/>
  <c r="B42" i="17"/>
  <c r="C33" i="16"/>
  <c r="B42" i="4"/>
  <c r="L33" i="14"/>
  <c r="J33" i="14"/>
  <c r="J3" i="14"/>
  <c r="J34" i="14"/>
  <c r="J37" i="14"/>
  <c r="J36" i="14"/>
  <c r="J35" i="14"/>
  <c r="K34" i="14"/>
  <c r="C2" i="16"/>
  <c r="B11" i="17"/>
  <c r="B11" i="4"/>
  <c r="K3" i="14"/>
  <c r="K33" i="14"/>
  <c r="K35" i="14"/>
  <c r="K37" i="14"/>
  <c r="F34" i="15"/>
  <c r="G34" i="15" s="1"/>
  <c r="G43" i="17" s="1"/>
  <c r="K35" i="15"/>
  <c r="B33" i="16"/>
  <c r="E42" i="17"/>
  <c r="E42" i="4"/>
  <c r="K37" i="15"/>
  <c r="B3" i="16"/>
  <c r="D3" i="16" s="1"/>
  <c r="E12" i="4"/>
  <c r="E12" i="17"/>
  <c r="K36" i="15"/>
  <c r="B2" i="16"/>
  <c r="E11" i="4"/>
  <c r="E11" i="17"/>
  <c r="J33" i="15"/>
  <c r="K33" i="15"/>
  <c r="M33" i="15"/>
  <c r="N33" i="15"/>
  <c r="L33" i="15"/>
  <c r="E5" i="13"/>
  <c r="F5" i="13" s="1"/>
  <c r="G3" i="12"/>
  <c r="H3" i="12" s="1"/>
  <c r="I3" i="12" s="1"/>
  <c r="A31" i="6"/>
  <c r="D32" i="6"/>
  <c r="A43" i="4"/>
  <c r="A44" i="4" s="1"/>
  <c r="A45" i="4" s="1"/>
  <c r="A46" i="4" s="1"/>
  <c r="E32" i="6"/>
  <c r="F14" i="4"/>
  <c r="H14" i="4" s="1"/>
  <c r="B4" i="12"/>
  <c r="G4" i="12" s="1"/>
  <c r="H4" i="12" s="1"/>
  <c r="B4" i="13"/>
  <c r="C4" i="13" s="1"/>
  <c r="P5" i="13"/>
  <c r="Q5" i="13" s="1"/>
  <c r="R5" i="13" s="1"/>
  <c r="P5" i="12"/>
  <c r="Q5" i="12" s="1"/>
  <c r="R5" i="12" s="1"/>
  <c r="B5" i="15"/>
  <c r="D5" i="15" s="1"/>
  <c r="B3" i="6"/>
  <c r="C3" i="6" s="1"/>
  <c r="I14" i="4"/>
  <c r="C5" i="14"/>
  <c r="D5" i="14" s="1"/>
  <c r="D5" i="6"/>
  <c r="E5" i="7" s="1"/>
  <c r="A4" i="6"/>
  <c r="I15" i="4"/>
  <c r="F15" i="4"/>
  <c r="C15" i="4"/>
  <c r="A7" i="14"/>
  <c r="A7" i="7"/>
  <c r="G7" i="7" s="1"/>
  <c r="A7" i="16"/>
  <c r="A7" i="15"/>
  <c r="A7" i="13"/>
  <c r="E6" i="6"/>
  <c r="A7" i="12"/>
  <c r="D16" i="4"/>
  <c r="G16" i="4"/>
  <c r="C6" i="15"/>
  <c r="B6" i="15"/>
  <c r="B5" i="13"/>
  <c r="C5" i="13" s="1"/>
  <c r="S5" i="13" s="1"/>
  <c r="D6" i="13"/>
  <c r="E6" i="13" s="1"/>
  <c r="F6" i="13" s="1"/>
  <c r="P6" i="13"/>
  <c r="B5" i="12"/>
  <c r="P6" i="12"/>
  <c r="D6" i="12"/>
  <c r="E6" i="12" s="1"/>
  <c r="F6" i="12" s="1"/>
  <c r="D6" i="6"/>
  <c r="E6" i="7" s="1"/>
  <c r="A5" i="6"/>
  <c r="B5" i="7" s="1"/>
  <c r="M2" i="15"/>
  <c r="L2" i="15"/>
  <c r="K2" i="15"/>
  <c r="N2" i="15"/>
  <c r="J2" i="15"/>
  <c r="N3" i="15"/>
  <c r="M3" i="15"/>
  <c r="L3" i="15"/>
  <c r="K3" i="15"/>
  <c r="J3" i="15"/>
  <c r="L2" i="14"/>
  <c r="K2" i="14"/>
  <c r="J2" i="14"/>
  <c r="N2" i="14"/>
  <c r="M2" i="14"/>
  <c r="I3" i="13"/>
  <c r="L3" i="13"/>
  <c r="D4" i="14"/>
  <c r="E4" i="14"/>
  <c r="C6" i="14"/>
  <c r="B6" i="14"/>
  <c r="K3" i="13"/>
  <c r="M3" i="13"/>
  <c r="X3" i="13"/>
  <c r="Y3" i="13" s="1"/>
  <c r="F4" i="12"/>
  <c r="F3" i="12"/>
  <c r="C2" i="7"/>
  <c r="H2" i="7" s="1"/>
  <c r="I2" i="7" s="1"/>
  <c r="A6" i="5"/>
  <c r="G6" i="5" s="1"/>
  <c r="I8" i="20" l="1"/>
  <c r="I9" i="20"/>
  <c r="J9" i="20"/>
  <c r="A11" i="20"/>
  <c r="D10" i="20"/>
  <c r="H10" i="20" s="1"/>
  <c r="B11" i="20"/>
  <c r="C6" i="19"/>
  <c r="D6" i="19" s="1"/>
  <c r="F6" i="19"/>
  <c r="G6" i="19" s="1"/>
  <c r="H5" i="19"/>
  <c r="B7" i="19"/>
  <c r="E7" i="19" s="1"/>
  <c r="A7" i="19"/>
  <c r="G8" i="18"/>
  <c r="G10" i="18" s="1"/>
  <c r="D9" i="18"/>
  <c r="G9" i="18" s="1"/>
  <c r="O30" i="13"/>
  <c r="O28" i="13"/>
  <c r="N31" i="13"/>
  <c r="O31" i="13" s="1"/>
  <c r="O29" i="13"/>
  <c r="Q6" i="13"/>
  <c r="R6" i="13" s="1"/>
  <c r="N27" i="13"/>
  <c r="O27" i="13" s="1"/>
  <c r="N25" i="13"/>
  <c r="N26" i="13"/>
  <c r="O26" i="13" s="1"/>
  <c r="J3" i="12"/>
  <c r="E13" i="17"/>
  <c r="B4" i="16"/>
  <c r="J4" i="15"/>
  <c r="D35" i="16"/>
  <c r="D37" i="16"/>
  <c r="D33" i="16"/>
  <c r="D36" i="16"/>
  <c r="E13" i="4"/>
  <c r="K4" i="15"/>
  <c r="L4" i="15"/>
  <c r="M4" i="15"/>
  <c r="F36" i="15"/>
  <c r="G36" i="15" s="1"/>
  <c r="G45" i="17" s="1"/>
  <c r="F37" i="14"/>
  <c r="G37" i="14" s="1"/>
  <c r="D46" i="17" s="1"/>
  <c r="F33" i="14"/>
  <c r="G33" i="14" s="1"/>
  <c r="D42" i="17" s="1"/>
  <c r="F35" i="15"/>
  <c r="G35" i="15" s="1"/>
  <c r="G44" i="17" s="1"/>
  <c r="F36" i="14"/>
  <c r="G36" i="14" s="1"/>
  <c r="D45" i="17" s="1"/>
  <c r="K3" i="12"/>
  <c r="F37" i="15"/>
  <c r="G37" i="15" s="1"/>
  <c r="G46" i="17" s="1"/>
  <c r="A32" i="6"/>
  <c r="B33" i="6" s="1"/>
  <c r="C33" i="6" s="1"/>
  <c r="D33" i="6"/>
  <c r="F35" i="14"/>
  <c r="G35" i="14" s="1"/>
  <c r="D44" i="17" s="1"/>
  <c r="F34" i="14"/>
  <c r="G34" i="14" s="1"/>
  <c r="D43" i="17" s="1"/>
  <c r="F3" i="14"/>
  <c r="G3" i="14" s="1"/>
  <c r="D12" i="17" s="1"/>
  <c r="H34" i="15"/>
  <c r="H34" i="16" s="1"/>
  <c r="I34" i="15"/>
  <c r="C5" i="16"/>
  <c r="B14" i="17"/>
  <c r="B14" i="4"/>
  <c r="D2" i="16"/>
  <c r="C4" i="16"/>
  <c r="B13" i="4"/>
  <c r="B13" i="17"/>
  <c r="J5" i="15"/>
  <c r="E14" i="17"/>
  <c r="E14" i="4"/>
  <c r="F33" i="15"/>
  <c r="G33" i="15" s="1"/>
  <c r="G42" i="17" s="1"/>
  <c r="I33" i="6" s="1"/>
  <c r="L3" i="12"/>
  <c r="M3" i="12"/>
  <c r="C4" i="12"/>
  <c r="U4" i="12" s="1"/>
  <c r="L5" i="15"/>
  <c r="Q6" i="12"/>
  <c r="R6" i="12" s="1"/>
  <c r="E5" i="15"/>
  <c r="K5" i="15"/>
  <c r="C3" i="7"/>
  <c r="H3" i="7" s="1"/>
  <c r="I3" i="7" s="1"/>
  <c r="G4" i="13"/>
  <c r="H4" i="13" s="1"/>
  <c r="S4" i="13"/>
  <c r="W4" i="13"/>
  <c r="U4" i="13"/>
  <c r="T4" i="13"/>
  <c r="V4" i="13"/>
  <c r="B5" i="16"/>
  <c r="N5" i="15"/>
  <c r="M5" i="15"/>
  <c r="E5" i="14"/>
  <c r="B5" i="6"/>
  <c r="C5" i="6" s="1"/>
  <c r="B4" i="7"/>
  <c r="B4" i="6"/>
  <c r="H15" i="4"/>
  <c r="E6" i="15"/>
  <c r="U5" i="13"/>
  <c r="V5" i="13"/>
  <c r="T5" i="13"/>
  <c r="G5" i="13"/>
  <c r="H5" i="13" s="1"/>
  <c r="J5" i="13" s="1"/>
  <c r="W5" i="13"/>
  <c r="C5" i="12"/>
  <c r="G5" i="12"/>
  <c r="H5" i="12" s="1"/>
  <c r="B7" i="15"/>
  <c r="C7" i="15"/>
  <c r="P7" i="13"/>
  <c r="Q7" i="13" s="1"/>
  <c r="R7" i="13" s="1"/>
  <c r="D7" i="13"/>
  <c r="E7" i="13" s="1"/>
  <c r="F7" i="13" s="1"/>
  <c r="B6" i="13"/>
  <c r="C6" i="13" s="1"/>
  <c r="L4" i="12"/>
  <c r="J4" i="12"/>
  <c r="K4" i="12"/>
  <c r="I4" i="12"/>
  <c r="M4" i="12"/>
  <c r="F16" i="4"/>
  <c r="I16" i="4"/>
  <c r="C16" i="4"/>
  <c r="B6" i="12"/>
  <c r="P7" i="12"/>
  <c r="Q7" i="12" s="1"/>
  <c r="R7" i="12" s="1"/>
  <c r="D7" i="12"/>
  <c r="E7" i="12" s="1"/>
  <c r="F7" i="12" s="1"/>
  <c r="D6" i="15"/>
  <c r="D7" i="6"/>
  <c r="E7" i="7" s="1"/>
  <c r="A6" i="6"/>
  <c r="F6" i="7"/>
  <c r="A8" i="16"/>
  <c r="A8" i="15"/>
  <c r="A8" i="13"/>
  <c r="A8" i="14"/>
  <c r="G17" i="4"/>
  <c r="A8" i="12"/>
  <c r="E7" i="6"/>
  <c r="A8" i="7"/>
  <c r="G8" i="7" s="1"/>
  <c r="D17" i="4"/>
  <c r="F2" i="14"/>
  <c r="G2" i="14" s="1"/>
  <c r="D11" i="17" s="1"/>
  <c r="F3" i="15"/>
  <c r="G3" i="15" s="1"/>
  <c r="G12" i="17" s="1"/>
  <c r="F2" i="15"/>
  <c r="G2" i="15" s="1"/>
  <c r="G11" i="17" s="1"/>
  <c r="E6" i="14"/>
  <c r="N5" i="14"/>
  <c r="M5" i="14"/>
  <c r="L5" i="14"/>
  <c r="K5" i="14"/>
  <c r="J5" i="14"/>
  <c r="M4" i="14"/>
  <c r="L4" i="14"/>
  <c r="K4" i="14"/>
  <c r="J4" i="14"/>
  <c r="N4" i="14"/>
  <c r="D6" i="14"/>
  <c r="B7" i="14"/>
  <c r="C7" i="14"/>
  <c r="N3" i="13"/>
  <c r="O3" i="13" s="1"/>
  <c r="D2" i="7"/>
  <c r="J2" i="7" s="1"/>
  <c r="D3" i="7"/>
  <c r="J3" i="7" s="1"/>
  <c r="A7" i="5"/>
  <c r="G7" i="5" s="1"/>
  <c r="I10" i="20" l="1"/>
  <c r="B12" i="20"/>
  <c r="A12" i="20"/>
  <c r="D11" i="20"/>
  <c r="H11" i="20" s="1"/>
  <c r="J10" i="20"/>
  <c r="J5" i="19"/>
  <c r="I5" i="19"/>
  <c r="C7" i="19"/>
  <c r="D7" i="19" s="1"/>
  <c r="H7" i="19" s="1"/>
  <c r="I7" i="19" s="1"/>
  <c r="F7" i="19"/>
  <c r="G7" i="19" s="1"/>
  <c r="H6" i="19"/>
  <c r="B8" i="19"/>
  <c r="E8" i="19" s="1"/>
  <c r="A8" i="19"/>
  <c r="D4" i="16"/>
  <c r="I33" i="14"/>
  <c r="C42" i="17" s="1"/>
  <c r="I36" i="6"/>
  <c r="J36" i="6" s="1"/>
  <c r="F4" i="15"/>
  <c r="G4" i="15" s="1"/>
  <c r="G13" i="17" s="1"/>
  <c r="I3" i="6" s="1"/>
  <c r="J3" i="6" s="1"/>
  <c r="I37" i="15"/>
  <c r="F46" i="17" s="1"/>
  <c r="I35" i="6"/>
  <c r="J35" i="6" s="1"/>
  <c r="I37" i="14"/>
  <c r="C46" i="17" s="1"/>
  <c r="H37" i="14"/>
  <c r="I37" i="16" s="1"/>
  <c r="H36" i="15"/>
  <c r="H36" i="16" s="1"/>
  <c r="I36" i="15"/>
  <c r="F45" i="17" s="1"/>
  <c r="I35" i="15"/>
  <c r="E35" i="16" s="1"/>
  <c r="H33" i="14"/>
  <c r="I33" i="16" s="1"/>
  <c r="I34" i="6"/>
  <c r="J34" i="6" s="1"/>
  <c r="K33" i="6"/>
  <c r="L33" i="6" s="1"/>
  <c r="K36" i="6"/>
  <c r="L36" i="6" s="1"/>
  <c r="H3" i="14"/>
  <c r="I3" i="16" s="1"/>
  <c r="H36" i="14"/>
  <c r="I36" i="16" s="1"/>
  <c r="I36" i="14"/>
  <c r="C45" i="17" s="1"/>
  <c r="H34" i="14"/>
  <c r="I34" i="16" s="1"/>
  <c r="J34" i="16" s="1"/>
  <c r="K35" i="6"/>
  <c r="L35" i="6" s="1"/>
  <c r="H35" i="15"/>
  <c r="H35" i="16" s="1"/>
  <c r="H37" i="15"/>
  <c r="H37" i="16" s="1"/>
  <c r="I35" i="14"/>
  <c r="C44" i="17" s="1"/>
  <c r="N3" i="12"/>
  <c r="O3" i="12" s="1"/>
  <c r="D5" i="16"/>
  <c r="H35" i="14"/>
  <c r="I35" i="16" s="1"/>
  <c r="J33" i="6"/>
  <c r="B32" i="6"/>
  <c r="C32" i="6" s="1"/>
  <c r="K34" i="6"/>
  <c r="L34" i="6" s="1"/>
  <c r="I34" i="14"/>
  <c r="C43" i="17" s="1"/>
  <c r="I3" i="14"/>
  <c r="C12" i="17" s="1"/>
  <c r="E34" i="16"/>
  <c r="F43" i="17"/>
  <c r="C6" i="16"/>
  <c r="B15" i="4"/>
  <c r="B15" i="17"/>
  <c r="E15" i="17"/>
  <c r="E15" i="4"/>
  <c r="I11" i="17"/>
  <c r="G2" i="6" s="1"/>
  <c r="H2" i="6" s="1"/>
  <c r="I3" i="15"/>
  <c r="I33" i="15"/>
  <c r="H33" i="15"/>
  <c r="H33" i="16" s="1"/>
  <c r="S4" i="12"/>
  <c r="T4" i="12"/>
  <c r="W4" i="12"/>
  <c r="V4" i="12"/>
  <c r="F5" i="15"/>
  <c r="G5" i="15" s="1"/>
  <c r="G14" i="17" s="1"/>
  <c r="H2" i="15"/>
  <c r="H2" i="16" s="1"/>
  <c r="I2" i="15"/>
  <c r="X4" i="13"/>
  <c r="Y4" i="13" s="1"/>
  <c r="K4" i="13"/>
  <c r="M4" i="13"/>
  <c r="L4" i="13"/>
  <c r="J4" i="13"/>
  <c r="I4" i="13"/>
  <c r="C5" i="7"/>
  <c r="C4" i="6"/>
  <c r="C4" i="7"/>
  <c r="H4" i="7" s="1"/>
  <c r="I4" i="7" s="1"/>
  <c r="K5" i="13"/>
  <c r="M5" i="13"/>
  <c r="I5" i="13"/>
  <c r="X5" i="13"/>
  <c r="Y5" i="13" s="1"/>
  <c r="L5" i="13"/>
  <c r="E7" i="15"/>
  <c r="H16" i="4"/>
  <c r="B6" i="7"/>
  <c r="B6" i="6"/>
  <c r="D7" i="15"/>
  <c r="C6" i="12"/>
  <c r="G6" i="12"/>
  <c r="H6" i="12" s="1"/>
  <c r="C17" i="4"/>
  <c r="B7" i="13"/>
  <c r="C7" i="13" s="1"/>
  <c r="D8" i="13"/>
  <c r="E8" i="13" s="1"/>
  <c r="F8" i="13" s="1"/>
  <c r="P8" i="13"/>
  <c r="Q8" i="13" s="1"/>
  <c r="R8" i="13" s="1"/>
  <c r="B8" i="15"/>
  <c r="C8" i="15"/>
  <c r="N6" i="15"/>
  <c r="B6" i="16"/>
  <c r="J6" i="15"/>
  <c r="L6" i="15"/>
  <c r="M6" i="15"/>
  <c r="K6" i="15"/>
  <c r="T6" i="13"/>
  <c r="W6" i="13"/>
  <c r="U6" i="13"/>
  <c r="V6" i="13"/>
  <c r="G6" i="13"/>
  <c r="H6" i="13" s="1"/>
  <c r="S6" i="13"/>
  <c r="I17" i="4"/>
  <c r="F17" i="4"/>
  <c r="D8" i="6"/>
  <c r="E8" i="7" s="1"/>
  <c r="A7" i="6"/>
  <c r="F7" i="7"/>
  <c r="L5" i="12"/>
  <c r="M5" i="12"/>
  <c r="I5" i="12"/>
  <c r="K5" i="12"/>
  <c r="J5" i="12"/>
  <c r="B7" i="12"/>
  <c r="D8" i="12"/>
  <c r="E8" i="12" s="1"/>
  <c r="F8" i="12" s="1"/>
  <c r="P8" i="12"/>
  <c r="Q8" i="12" s="1"/>
  <c r="R8" i="12" s="1"/>
  <c r="E8" i="6"/>
  <c r="A9" i="16"/>
  <c r="A9" i="13"/>
  <c r="A9" i="15"/>
  <c r="A9" i="14"/>
  <c r="A9" i="12"/>
  <c r="A9" i="7"/>
  <c r="G9" i="7" s="1"/>
  <c r="G18" i="4"/>
  <c r="D18" i="4"/>
  <c r="N4" i="12"/>
  <c r="O4" i="12" s="1"/>
  <c r="S5" i="12"/>
  <c r="W5" i="12"/>
  <c r="U5" i="12"/>
  <c r="T5" i="12"/>
  <c r="V5" i="12"/>
  <c r="H2" i="14"/>
  <c r="I2" i="16" s="1"/>
  <c r="I2" i="14"/>
  <c r="C11" i="17" s="1"/>
  <c r="H3" i="15"/>
  <c r="H3" i="16" s="1"/>
  <c r="F5" i="14"/>
  <c r="G5" i="14" s="1"/>
  <c r="D14" i="17" s="1"/>
  <c r="E7" i="14"/>
  <c r="F4" i="14"/>
  <c r="G4" i="14" s="1"/>
  <c r="D13" i="17" s="1"/>
  <c r="N6" i="14"/>
  <c r="M6" i="14"/>
  <c r="L6" i="14"/>
  <c r="K6" i="14"/>
  <c r="J6" i="14"/>
  <c r="D7" i="14"/>
  <c r="C8" i="14"/>
  <c r="B8" i="14"/>
  <c r="D5" i="7"/>
  <c r="J5" i="7" s="1"/>
  <c r="A8" i="5"/>
  <c r="G8" i="5" s="1"/>
  <c r="D12" i="20" l="1"/>
  <c r="H12" i="20" s="1"/>
  <c r="B13" i="20"/>
  <c r="A13" i="20"/>
  <c r="J11" i="20"/>
  <c r="I11" i="20"/>
  <c r="J6" i="19"/>
  <c r="I6" i="19"/>
  <c r="C8" i="19"/>
  <c r="D8" i="19" s="1"/>
  <c r="H8" i="19" s="1"/>
  <c r="I8" i="19" s="1"/>
  <c r="F8" i="19"/>
  <c r="G8" i="19" s="1"/>
  <c r="J7" i="19"/>
  <c r="A9" i="19"/>
  <c r="B9" i="19"/>
  <c r="E9" i="19" s="1"/>
  <c r="H4" i="15"/>
  <c r="H4" i="16" s="1"/>
  <c r="E37" i="16"/>
  <c r="F37" i="16"/>
  <c r="F33" i="16"/>
  <c r="I4" i="15"/>
  <c r="F13" i="17" s="1"/>
  <c r="I4" i="6"/>
  <c r="J4" i="6" s="1"/>
  <c r="J37" i="16"/>
  <c r="J36" i="16"/>
  <c r="F44" i="17"/>
  <c r="E36" i="16"/>
  <c r="F36" i="16"/>
  <c r="J3" i="16"/>
  <c r="J33" i="16"/>
  <c r="F35" i="16"/>
  <c r="G35" i="16" s="1"/>
  <c r="J35" i="16"/>
  <c r="F34" i="16"/>
  <c r="G34" i="16" s="1"/>
  <c r="X4" i="12"/>
  <c r="Y4" i="12" s="1"/>
  <c r="F3" i="16"/>
  <c r="K4" i="6"/>
  <c r="L4" i="6" s="1"/>
  <c r="K3" i="6"/>
  <c r="L3" i="6" s="1"/>
  <c r="E33" i="16"/>
  <c r="F42" i="17"/>
  <c r="E3" i="16"/>
  <c r="F12" i="17"/>
  <c r="H12" i="17" s="1"/>
  <c r="F3" i="6" s="1"/>
  <c r="E2" i="16"/>
  <c r="F11" i="17"/>
  <c r="H11" i="17" s="1"/>
  <c r="F2" i="6" s="1"/>
  <c r="F2" i="16"/>
  <c r="C7" i="16"/>
  <c r="B16" i="4"/>
  <c r="B16" i="17"/>
  <c r="D6" i="16"/>
  <c r="I5" i="15"/>
  <c r="E16" i="4"/>
  <c r="E16" i="17"/>
  <c r="I13" i="17"/>
  <c r="G4" i="6" s="1"/>
  <c r="H4" i="6" s="1"/>
  <c r="I12" i="17"/>
  <c r="G3" i="6" s="1"/>
  <c r="H3" i="6" s="1"/>
  <c r="H5" i="15"/>
  <c r="H5" i="16" s="1"/>
  <c r="J2" i="16"/>
  <c r="N4" i="13"/>
  <c r="O4" i="13" s="1"/>
  <c r="N5" i="13"/>
  <c r="O5" i="13" s="1"/>
  <c r="D4" i="7"/>
  <c r="J4" i="7" s="1"/>
  <c r="H5" i="7"/>
  <c r="I5" i="7" s="1"/>
  <c r="E8" i="15"/>
  <c r="H17" i="4"/>
  <c r="D8" i="15"/>
  <c r="U6" i="12"/>
  <c r="V6" i="12"/>
  <c r="S6" i="12"/>
  <c r="W6" i="12"/>
  <c r="T6" i="12"/>
  <c r="F18" i="4"/>
  <c r="I18" i="4"/>
  <c r="C7" i="12"/>
  <c r="G7" i="12"/>
  <c r="H7" i="12" s="1"/>
  <c r="X6" i="13"/>
  <c r="Y6" i="13" s="1"/>
  <c r="F6" i="15"/>
  <c r="G6" i="15" s="1"/>
  <c r="G15" i="17" s="1"/>
  <c r="I5" i="6" s="1"/>
  <c r="J5" i="6" s="1"/>
  <c r="W7" i="13"/>
  <c r="S7" i="13"/>
  <c r="T7" i="13"/>
  <c r="V7" i="13"/>
  <c r="G7" i="13"/>
  <c r="H7" i="13" s="1"/>
  <c r="U7" i="13"/>
  <c r="B7" i="16"/>
  <c r="K7" i="15"/>
  <c r="N7" i="15"/>
  <c r="M7" i="15"/>
  <c r="L7" i="15"/>
  <c r="J7" i="15"/>
  <c r="C18" i="4"/>
  <c r="H18" i="4" s="1"/>
  <c r="D9" i="6"/>
  <c r="E9" i="7" s="1"/>
  <c r="A8" i="6"/>
  <c r="F8" i="7"/>
  <c r="B7" i="6"/>
  <c r="B7" i="7"/>
  <c r="C6" i="6"/>
  <c r="C6" i="7"/>
  <c r="H6" i="7" s="1"/>
  <c r="I6" i="7" s="1"/>
  <c r="P9" i="12"/>
  <c r="Q9" i="12" s="1"/>
  <c r="R9" i="12" s="1"/>
  <c r="D9" i="12"/>
  <c r="E9" i="12" s="1"/>
  <c r="F9" i="12" s="1"/>
  <c r="B8" i="12"/>
  <c r="N5" i="12"/>
  <c r="O5" i="12" s="1"/>
  <c r="P9" i="13"/>
  <c r="Q9" i="13" s="1"/>
  <c r="R9" i="13" s="1"/>
  <c r="B8" i="13"/>
  <c r="C8" i="13" s="1"/>
  <c r="D9" i="13"/>
  <c r="E9" i="13" s="1"/>
  <c r="F9" i="13" s="1"/>
  <c r="K6" i="13"/>
  <c r="J6" i="13"/>
  <c r="L6" i="13"/>
  <c r="M6" i="13"/>
  <c r="I6" i="13"/>
  <c r="X5" i="12"/>
  <c r="Y5" i="12" s="1"/>
  <c r="E9" i="6"/>
  <c r="A10" i="14"/>
  <c r="A10" i="7"/>
  <c r="G10" i="7" s="1"/>
  <c r="A10" i="12"/>
  <c r="A10" i="13"/>
  <c r="A10" i="16"/>
  <c r="A10" i="15"/>
  <c r="D19" i="4"/>
  <c r="G19" i="4"/>
  <c r="C9" i="15"/>
  <c r="B9" i="15"/>
  <c r="J6" i="12"/>
  <c r="I6" i="12"/>
  <c r="L6" i="12"/>
  <c r="K6" i="12"/>
  <c r="M6" i="12"/>
  <c r="E8" i="14"/>
  <c r="H5" i="14"/>
  <c r="I5" i="16" s="1"/>
  <c r="I5" i="14"/>
  <c r="C14" i="17" s="1"/>
  <c r="J7" i="14"/>
  <c r="N7" i="14"/>
  <c r="M7" i="14"/>
  <c r="L7" i="14"/>
  <c r="K7" i="14"/>
  <c r="I4" i="14"/>
  <c r="C13" i="17" s="1"/>
  <c r="H4" i="14"/>
  <c r="I4" i="16" s="1"/>
  <c r="F6" i="14"/>
  <c r="G6" i="14" s="1"/>
  <c r="D15" i="17" s="1"/>
  <c r="K5" i="6" s="1"/>
  <c r="L5" i="6" s="1"/>
  <c r="D8" i="14"/>
  <c r="C9" i="14"/>
  <c r="B9" i="14"/>
  <c r="A9" i="5"/>
  <c r="G9" i="5" s="1"/>
  <c r="A14" i="20" l="1"/>
  <c r="D13" i="20"/>
  <c r="H13" i="20" s="1"/>
  <c r="B14" i="20"/>
  <c r="J12" i="20"/>
  <c r="I12" i="20"/>
  <c r="C9" i="19"/>
  <c r="D9" i="19" s="1"/>
  <c r="F9" i="19"/>
  <c r="G9" i="19" s="1"/>
  <c r="J8" i="19"/>
  <c r="A10" i="19"/>
  <c r="B10" i="19"/>
  <c r="E10" i="19" s="1"/>
  <c r="D7" i="16"/>
  <c r="J4" i="16"/>
  <c r="G37" i="16"/>
  <c r="G33" i="16"/>
  <c r="E4" i="16"/>
  <c r="G36" i="16"/>
  <c r="G3" i="16"/>
  <c r="G2" i="16"/>
  <c r="E5" i="16"/>
  <c r="F14" i="17"/>
  <c r="F4" i="16"/>
  <c r="F5" i="16"/>
  <c r="C8" i="16"/>
  <c r="B17" i="4"/>
  <c r="B17" i="17"/>
  <c r="H13" i="17"/>
  <c r="F4" i="6" s="1"/>
  <c r="J5" i="16"/>
  <c r="I15" i="17"/>
  <c r="G6" i="6" s="1"/>
  <c r="H6" i="6" s="1"/>
  <c r="M8" i="15"/>
  <c r="E17" i="4"/>
  <c r="E17" i="17"/>
  <c r="I14" i="17"/>
  <c r="G5" i="6" s="1"/>
  <c r="H5" i="6" s="1"/>
  <c r="B8" i="16"/>
  <c r="L8" i="15"/>
  <c r="J8" i="15"/>
  <c r="K8" i="15"/>
  <c r="N8" i="15"/>
  <c r="D6" i="7"/>
  <c r="J6" i="7" s="1"/>
  <c r="S7" i="12"/>
  <c r="U7" i="12"/>
  <c r="W7" i="12"/>
  <c r="T7" i="12"/>
  <c r="V7" i="12"/>
  <c r="N6" i="12"/>
  <c r="O6" i="12" s="1"/>
  <c r="P10" i="12"/>
  <c r="Q10" i="12" s="1"/>
  <c r="R10" i="12" s="1"/>
  <c r="D10" i="12"/>
  <c r="E10" i="12" s="1"/>
  <c r="F10" i="12" s="1"/>
  <c r="B9" i="12"/>
  <c r="N6" i="13"/>
  <c r="O6" i="13" s="1"/>
  <c r="V8" i="13"/>
  <c r="W8" i="13"/>
  <c r="G8" i="13"/>
  <c r="H8" i="13" s="1"/>
  <c r="S8" i="13"/>
  <c r="U8" i="13"/>
  <c r="T8" i="13"/>
  <c r="X7" i="13"/>
  <c r="Y7" i="13" s="1"/>
  <c r="X6" i="12"/>
  <c r="Y6" i="12" s="1"/>
  <c r="I19" i="4"/>
  <c r="F19" i="4"/>
  <c r="G8" i="12"/>
  <c r="H8" i="12" s="1"/>
  <c r="C8" i="12"/>
  <c r="C19" i="4"/>
  <c r="H6" i="15"/>
  <c r="H6" i="16" s="1"/>
  <c r="I6" i="15"/>
  <c r="F7" i="15"/>
  <c r="G7" i="15" s="1"/>
  <c r="G16" i="17" s="1"/>
  <c r="I6" i="6" s="1"/>
  <c r="J6" i="6" s="1"/>
  <c r="K7" i="13"/>
  <c r="I7" i="13"/>
  <c r="M7" i="13"/>
  <c r="L7" i="13"/>
  <c r="J7" i="13"/>
  <c r="D9" i="15"/>
  <c r="B10" i="15"/>
  <c r="C10" i="15"/>
  <c r="D10" i="6"/>
  <c r="E10" i="7" s="1"/>
  <c r="A9" i="6"/>
  <c r="F9" i="7"/>
  <c r="B8" i="7"/>
  <c r="B8" i="6"/>
  <c r="P10" i="13"/>
  <c r="Q10" i="13" s="1"/>
  <c r="R10" i="13" s="1"/>
  <c r="B9" i="13"/>
  <c r="C9" i="13" s="1"/>
  <c r="D10" i="13"/>
  <c r="E10" i="13" s="1"/>
  <c r="F10" i="13" s="1"/>
  <c r="C7" i="6"/>
  <c r="C7" i="7"/>
  <c r="H7" i="7" s="1"/>
  <c r="I7" i="7" s="1"/>
  <c r="E9" i="15"/>
  <c r="A11" i="16"/>
  <c r="A11" i="15"/>
  <c r="A11" i="13"/>
  <c r="A11" i="12"/>
  <c r="A11" i="14"/>
  <c r="E10" i="6"/>
  <c r="A11" i="7"/>
  <c r="G11" i="7" s="1"/>
  <c r="G20" i="4"/>
  <c r="D20" i="4"/>
  <c r="L7" i="12"/>
  <c r="J7" i="12"/>
  <c r="M7" i="12"/>
  <c r="K7" i="12"/>
  <c r="I7" i="12"/>
  <c r="I6" i="14"/>
  <c r="C15" i="17" s="1"/>
  <c r="H6" i="14"/>
  <c r="I6" i="16" s="1"/>
  <c r="K8" i="14"/>
  <c r="J8" i="14"/>
  <c r="N8" i="14"/>
  <c r="L8" i="14"/>
  <c r="M8" i="14"/>
  <c r="F7" i="14"/>
  <c r="G7" i="14" s="1"/>
  <c r="D16" i="17" s="1"/>
  <c r="K6" i="6" s="1"/>
  <c r="L6" i="6" s="1"/>
  <c r="E9" i="14"/>
  <c r="D9" i="14"/>
  <c r="C10" i="14"/>
  <c r="B10" i="14"/>
  <c r="A10" i="5"/>
  <c r="G10" i="5" s="1"/>
  <c r="G11" i="5" s="1"/>
  <c r="I13" i="20" l="1"/>
  <c r="B15" i="20"/>
  <c r="A15" i="20"/>
  <c r="D14" i="20"/>
  <c r="J13" i="20"/>
  <c r="C10" i="19"/>
  <c r="D10" i="19" s="1"/>
  <c r="F10" i="19"/>
  <c r="G10" i="19" s="1"/>
  <c r="H9" i="19"/>
  <c r="B11" i="19"/>
  <c r="E11" i="19" s="1"/>
  <c r="A11" i="19"/>
  <c r="G4" i="16"/>
  <c r="D8" i="16"/>
  <c r="E6" i="16"/>
  <c r="F15" i="17"/>
  <c r="H15" i="17" s="1"/>
  <c r="F6" i="6" s="1"/>
  <c r="G5" i="16"/>
  <c r="C9" i="16"/>
  <c r="B18" i="4"/>
  <c r="B18" i="17"/>
  <c r="F6" i="16"/>
  <c r="H14" i="17"/>
  <c r="F5" i="6" s="1"/>
  <c r="E18" i="17"/>
  <c r="E18" i="4"/>
  <c r="I16" i="17"/>
  <c r="G7" i="6" s="1"/>
  <c r="H7" i="6" s="1"/>
  <c r="J6" i="16"/>
  <c r="E10" i="15"/>
  <c r="F8" i="15"/>
  <c r="G8" i="15" s="1"/>
  <c r="G17" i="17" s="1"/>
  <c r="X7" i="12"/>
  <c r="Y7" i="12" s="1"/>
  <c r="I8" i="12"/>
  <c r="L8" i="12"/>
  <c r="J8" i="12"/>
  <c r="M8" i="12"/>
  <c r="K8" i="12"/>
  <c r="H19" i="4"/>
  <c r="F20" i="4"/>
  <c r="I20" i="4"/>
  <c r="D11" i="6"/>
  <c r="E11" i="7" s="1"/>
  <c r="A10" i="6"/>
  <c r="F10" i="7"/>
  <c r="E11" i="6"/>
  <c r="A12" i="14"/>
  <c r="A12" i="7"/>
  <c r="G12" i="7" s="1"/>
  <c r="A12" i="12"/>
  <c r="A12" i="15"/>
  <c r="A12" i="13"/>
  <c r="A12" i="16"/>
  <c r="G21" i="4"/>
  <c r="D21" i="4"/>
  <c r="T9" i="13"/>
  <c r="W9" i="13"/>
  <c r="G9" i="13"/>
  <c r="H9" i="13" s="1"/>
  <c r="V9" i="13"/>
  <c r="S9" i="13"/>
  <c r="U9" i="13"/>
  <c r="N7" i="13"/>
  <c r="O7" i="13" s="1"/>
  <c r="C9" i="12"/>
  <c r="G9" i="12"/>
  <c r="H9" i="12" s="1"/>
  <c r="D7" i="7"/>
  <c r="J7" i="7" s="1"/>
  <c r="B9" i="7"/>
  <c r="B9" i="6"/>
  <c r="B9" i="16"/>
  <c r="L9" i="15"/>
  <c r="J9" i="15"/>
  <c r="N9" i="15"/>
  <c r="M9" i="15"/>
  <c r="K9" i="15"/>
  <c r="X8" i="13"/>
  <c r="Y8" i="13" s="1"/>
  <c r="B11" i="15"/>
  <c r="C11" i="15"/>
  <c r="B10" i="12"/>
  <c r="D11" i="12"/>
  <c r="E11" i="12" s="1"/>
  <c r="F11" i="12" s="1"/>
  <c r="P11" i="12"/>
  <c r="Q11" i="12" s="1"/>
  <c r="R11" i="12" s="1"/>
  <c r="H7" i="15"/>
  <c r="H7" i="16" s="1"/>
  <c r="I7" i="15"/>
  <c r="K8" i="13"/>
  <c r="L8" i="13"/>
  <c r="I8" i="13"/>
  <c r="M8" i="13"/>
  <c r="J8" i="13"/>
  <c r="N7" i="12"/>
  <c r="O7" i="12" s="1"/>
  <c r="C20" i="4"/>
  <c r="P11" i="13"/>
  <c r="Q11" i="13" s="1"/>
  <c r="R11" i="13" s="1"/>
  <c r="D11" i="13"/>
  <c r="E11" i="13" s="1"/>
  <c r="F11" i="13" s="1"/>
  <c r="B10" i="13"/>
  <c r="C10" i="13" s="1"/>
  <c r="C8" i="6"/>
  <c r="C8" i="7"/>
  <c r="H8" i="7" s="1"/>
  <c r="I8" i="7" s="1"/>
  <c r="D10" i="15"/>
  <c r="V8" i="12"/>
  <c r="S8" i="12"/>
  <c r="W8" i="12"/>
  <c r="T8" i="12"/>
  <c r="U8" i="12"/>
  <c r="F8" i="14"/>
  <c r="G8" i="14" s="1"/>
  <c r="D17" i="17" s="1"/>
  <c r="E10" i="14"/>
  <c r="H7" i="14"/>
  <c r="I7" i="16" s="1"/>
  <c r="I7" i="14"/>
  <c r="C16" i="17" s="1"/>
  <c r="L9" i="14"/>
  <c r="K9" i="14"/>
  <c r="J9" i="14"/>
  <c r="M9" i="14"/>
  <c r="N9" i="14"/>
  <c r="D10" i="14"/>
  <c r="B11" i="14"/>
  <c r="C11" i="14"/>
  <c r="H14" i="20" l="1"/>
  <c r="J14" i="20" s="1"/>
  <c r="D15" i="20"/>
  <c r="H15" i="20" s="1"/>
  <c r="B16" i="20"/>
  <c r="A16" i="20"/>
  <c r="J9" i="19"/>
  <c r="I9" i="19"/>
  <c r="C11" i="19"/>
  <c r="D11" i="19" s="1"/>
  <c r="H11" i="19" s="1"/>
  <c r="I11" i="19" s="1"/>
  <c r="F11" i="19"/>
  <c r="G11" i="19" s="1"/>
  <c r="H10" i="19"/>
  <c r="B12" i="19"/>
  <c r="E12" i="19" s="1"/>
  <c r="A12" i="19"/>
  <c r="D9" i="16"/>
  <c r="G6" i="16"/>
  <c r="K7" i="6"/>
  <c r="L7" i="6" s="1"/>
  <c r="E7" i="16"/>
  <c r="F16" i="17"/>
  <c r="H16" i="17" s="1"/>
  <c r="F7" i="6" s="1"/>
  <c r="I7" i="6"/>
  <c r="J7" i="6" s="1"/>
  <c r="C10" i="16"/>
  <c r="B19" i="17"/>
  <c r="B19" i="4"/>
  <c r="F7" i="16"/>
  <c r="I8" i="15"/>
  <c r="E19" i="17"/>
  <c r="E19" i="4"/>
  <c r="H8" i="15"/>
  <c r="H8" i="16" s="1"/>
  <c r="H20" i="4"/>
  <c r="X8" i="12"/>
  <c r="Y8" i="12" s="1"/>
  <c r="E11" i="15"/>
  <c r="F9" i="15"/>
  <c r="G9" i="15" s="1"/>
  <c r="G18" i="17" s="1"/>
  <c r="B11" i="12"/>
  <c r="P12" i="12"/>
  <c r="Q12" i="12" s="1"/>
  <c r="R12" i="12" s="1"/>
  <c r="D12" i="12"/>
  <c r="E12" i="12" s="1"/>
  <c r="F12" i="12" s="1"/>
  <c r="B10" i="7"/>
  <c r="B10" i="6"/>
  <c r="B12" i="15"/>
  <c r="C12" i="15"/>
  <c r="C21" i="4"/>
  <c r="N8" i="12"/>
  <c r="O8" i="12" s="1"/>
  <c r="B10" i="16"/>
  <c r="M10" i="15"/>
  <c r="L10" i="15"/>
  <c r="K10" i="15"/>
  <c r="N10" i="15"/>
  <c r="J10" i="15"/>
  <c r="F21" i="4"/>
  <c r="I21" i="4"/>
  <c r="C10" i="12"/>
  <c r="G10" i="12"/>
  <c r="H10" i="12" s="1"/>
  <c r="J7" i="16"/>
  <c r="D8" i="7"/>
  <c r="J8" i="7" s="1"/>
  <c r="C9" i="6"/>
  <c r="C9" i="7"/>
  <c r="H9" i="7" s="1"/>
  <c r="I9" i="7" s="1"/>
  <c r="I9" i="12"/>
  <c r="M9" i="12"/>
  <c r="K9" i="12"/>
  <c r="L9" i="12"/>
  <c r="J9" i="12"/>
  <c r="D12" i="6"/>
  <c r="E12" i="7" s="1"/>
  <c r="A11" i="6"/>
  <c r="F11" i="7"/>
  <c r="N8" i="13"/>
  <c r="O8" i="13" s="1"/>
  <c r="X9" i="13"/>
  <c r="Y9" i="13" s="1"/>
  <c r="U10" i="13"/>
  <c r="T10" i="13"/>
  <c r="W10" i="13"/>
  <c r="G10" i="13"/>
  <c r="H10" i="13" s="1"/>
  <c r="V10" i="13"/>
  <c r="S10" i="13"/>
  <c r="D11" i="15"/>
  <c r="V9" i="12"/>
  <c r="W9" i="12"/>
  <c r="T9" i="12"/>
  <c r="S9" i="12"/>
  <c r="U9" i="12"/>
  <c r="J9" i="13"/>
  <c r="K9" i="13"/>
  <c r="M9" i="13"/>
  <c r="L9" i="13"/>
  <c r="I9" i="13"/>
  <c r="B11" i="13"/>
  <c r="C11" i="13" s="1"/>
  <c r="D12" i="13"/>
  <c r="E12" i="13" s="1"/>
  <c r="F12" i="13" s="1"/>
  <c r="P12" i="13"/>
  <c r="Q12" i="13" s="1"/>
  <c r="R12" i="13" s="1"/>
  <c r="A13" i="14"/>
  <c r="A13" i="7"/>
  <c r="G13" i="7" s="1"/>
  <c r="A13" i="15"/>
  <c r="A13" i="16"/>
  <c r="A13" i="13"/>
  <c r="E12" i="6"/>
  <c r="A13" i="12"/>
  <c r="G22" i="4"/>
  <c r="D22" i="4"/>
  <c r="E11" i="14"/>
  <c r="F9" i="14"/>
  <c r="G9" i="14" s="1"/>
  <c r="D18" i="17" s="1"/>
  <c r="M10" i="14"/>
  <c r="L10" i="14"/>
  <c r="K10" i="14"/>
  <c r="J10" i="14"/>
  <c r="N10" i="14"/>
  <c r="I8" i="14"/>
  <c r="C17" i="17" s="1"/>
  <c r="H8" i="14"/>
  <c r="I8" i="16" s="1"/>
  <c r="D11" i="14"/>
  <c r="C12" i="14"/>
  <c r="B12" i="14"/>
  <c r="I14" i="20" l="1"/>
  <c r="I15" i="20"/>
  <c r="A17" i="20"/>
  <c r="D16" i="20"/>
  <c r="H16" i="20" s="1"/>
  <c r="B17" i="20"/>
  <c r="J15" i="20"/>
  <c r="J10" i="19"/>
  <c r="I10" i="19"/>
  <c r="C12" i="19"/>
  <c r="D12" i="19" s="1"/>
  <c r="H12" i="19" s="1"/>
  <c r="I12" i="19" s="1"/>
  <c r="F12" i="19"/>
  <c r="G12" i="19" s="1"/>
  <c r="J11" i="19"/>
  <c r="A13" i="19"/>
  <c r="B13" i="19"/>
  <c r="E13" i="19" s="1"/>
  <c r="D10" i="16"/>
  <c r="G7" i="16"/>
  <c r="K8" i="6"/>
  <c r="L8" i="6" s="1"/>
  <c r="E8" i="16"/>
  <c r="F17" i="17"/>
  <c r="H17" i="17" s="1"/>
  <c r="F8" i="6" s="1"/>
  <c r="I8" i="6"/>
  <c r="J8" i="6" s="1"/>
  <c r="C11" i="16"/>
  <c r="B20" i="17"/>
  <c r="B20" i="4"/>
  <c r="F8" i="16"/>
  <c r="I18" i="17"/>
  <c r="G9" i="6" s="1"/>
  <c r="H9" i="6" s="1"/>
  <c r="E20" i="4"/>
  <c r="E20" i="17"/>
  <c r="I17" i="17"/>
  <c r="G8" i="6" s="1"/>
  <c r="H8" i="6" s="1"/>
  <c r="J8" i="16"/>
  <c r="N9" i="12"/>
  <c r="O9" i="12" s="1"/>
  <c r="H21" i="4"/>
  <c r="D12" i="15"/>
  <c r="C22" i="4"/>
  <c r="B13" i="15"/>
  <c r="C13" i="15"/>
  <c r="T11" i="13"/>
  <c r="V11" i="13"/>
  <c r="U11" i="13"/>
  <c r="G11" i="13"/>
  <c r="H11" i="13" s="1"/>
  <c r="S11" i="13"/>
  <c r="W11" i="13"/>
  <c r="X10" i="13"/>
  <c r="Y10" i="13" s="1"/>
  <c r="C10" i="6"/>
  <c r="C10" i="7"/>
  <c r="H10" i="7" s="1"/>
  <c r="I10" i="7" s="1"/>
  <c r="G11" i="12"/>
  <c r="H11" i="12" s="1"/>
  <c r="C11" i="12"/>
  <c r="N9" i="13"/>
  <c r="O9" i="13" s="1"/>
  <c r="X9" i="12"/>
  <c r="Y9" i="12" s="1"/>
  <c r="D9" i="7"/>
  <c r="J9" i="7" s="1"/>
  <c r="H9" i="15"/>
  <c r="H9" i="16" s="1"/>
  <c r="I9" i="15"/>
  <c r="B12" i="12"/>
  <c r="P13" i="12"/>
  <c r="Q13" i="12" s="1"/>
  <c r="R13" i="12" s="1"/>
  <c r="D13" i="12"/>
  <c r="E13" i="12" s="1"/>
  <c r="F13" i="12" s="1"/>
  <c r="M10" i="13"/>
  <c r="J10" i="13"/>
  <c r="K10" i="13"/>
  <c r="L10" i="13"/>
  <c r="I10" i="13"/>
  <c r="L10" i="12"/>
  <c r="J10" i="12"/>
  <c r="M10" i="12"/>
  <c r="K10" i="12"/>
  <c r="I10" i="12"/>
  <c r="B11" i="7"/>
  <c r="B11" i="6"/>
  <c r="D13" i="6"/>
  <c r="E13" i="7" s="1"/>
  <c r="A12" i="6"/>
  <c r="F12" i="7"/>
  <c r="A14" i="16"/>
  <c r="A14" i="15"/>
  <c r="A14" i="13"/>
  <c r="A14" i="7"/>
  <c r="G14" i="7" s="1"/>
  <c r="A14" i="12"/>
  <c r="E13" i="6"/>
  <c r="A14" i="14"/>
  <c r="G23" i="4"/>
  <c r="D23" i="4"/>
  <c r="V10" i="12"/>
  <c r="W10" i="12"/>
  <c r="T10" i="12"/>
  <c r="S10" i="12"/>
  <c r="U10" i="12"/>
  <c r="B11" i="16"/>
  <c r="N11" i="15"/>
  <c r="M11" i="15"/>
  <c r="K11" i="15"/>
  <c r="L11" i="15"/>
  <c r="J11" i="15"/>
  <c r="I22" i="4"/>
  <c r="F22" i="4"/>
  <c r="P13" i="13"/>
  <c r="Q13" i="13" s="1"/>
  <c r="R13" i="13" s="1"/>
  <c r="D13" i="13"/>
  <c r="E13" i="13" s="1"/>
  <c r="F13" i="13" s="1"/>
  <c r="B12" i="13"/>
  <c r="C12" i="13" s="1"/>
  <c r="F10" i="15"/>
  <c r="G10" i="15" s="1"/>
  <c r="G19" i="17" s="1"/>
  <c r="E12" i="15"/>
  <c r="F10" i="14"/>
  <c r="G10" i="14" s="1"/>
  <c r="D19" i="17" s="1"/>
  <c r="N11" i="14"/>
  <c r="M11" i="14"/>
  <c r="L11" i="14"/>
  <c r="K11" i="14"/>
  <c r="J11" i="14"/>
  <c r="E12" i="14"/>
  <c r="H9" i="14"/>
  <c r="I9" i="16" s="1"/>
  <c r="I9" i="14"/>
  <c r="C18" i="17" s="1"/>
  <c r="B13" i="14"/>
  <c r="C13" i="14"/>
  <c r="D12" i="14"/>
  <c r="B18" i="20" l="1"/>
  <c r="A18" i="20"/>
  <c r="D17" i="20"/>
  <c r="J16" i="20"/>
  <c r="I16" i="20"/>
  <c r="C13" i="19"/>
  <c r="D13" i="19" s="1"/>
  <c r="H13" i="19" s="1"/>
  <c r="I13" i="19" s="1"/>
  <c r="F13" i="19"/>
  <c r="G13" i="19" s="1"/>
  <c r="J12" i="19"/>
  <c r="B14" i="19"/>
  <c r="E14" i="19" s="1"/>
  <c r="A14" i="19"/>
  <c r="G8" i="16"/>
  <c r="D11" i="16"/>
  <c r="J9" i="16"/>
  <c r="K9" i="6"/>
  <c r="L9" i="6" s="1"/>
  <c r="E9" i="16"/>
  <c r="F18" i="17"/>
  <c r="H18" i="17" s="1"/>
  <c r="F9" i="6" s="1"/>
  <c r="I9" i="6"/>
  <c r="J9" i="6" s="1"/>
  <c r="H10" i="14"/>
  <c r="I10" i="16" s="1"/>
  <c r="C12" i="16"/>
  <c r="B21" i="4"/>
  <c r="B21" i="17"/>
  <c r="F9" i="16"/>
  <c r="I19" i="17"/>
  <c r="G10" i="6" s="1"/>
  <c r="H10" i="6" s="1"/>
  <c r="M12" i="15"/>
  <c r="E21" i="17"/>
  <c r="E21" i="4"/>
  <c r="J12" i="15"/>
  <c r="L12" i="15"/>
  <c r="N12" i="15"/>
  <c r="K12" i="15"/>
  <c r="D13" i="15"/>
  <c r="B12" i="16"/>
  <c r="E13" i="15"/>
  <c r="N10" i="13"/>
  <c r="O10" i="13" s="1"/>
  <c r="D10" i="7"/>
  <c r="J10" i="7" s="1"/>
  <c r="H10" i="15"/>
  <c r="H10" i="16" s="1"/>
  <c r="I10" i="15"/>
  <c r="D14" i="6"/>
  <c r="E14" i="7" s="1"/>
  <c r="A13" i="6"/>
  <c r="F13" i="7"/>
  <c r="E14" i="6"/>
  <c r="A15" i="15"/>
  <c r="A15" i="16"/>
  <c r="A15" i="13"/>
  <c r="A15" i="14"/>
  <c r="A15" i="12"/>
  <c r="A15" i="7"/>
  <c r="G15" i="7" s="1"/>
  <c r="G24" i="4"/>
  <c r="D24" i="4"/>
  <c r="H22" i="4"/>
  <c r="B13" i="12"/>
  <c r="P14" i="12"/>
  <c r="D14" i="12"/>
  <c r="E14" i="12" s="1"/>
  <c r="F14" i="12" s="1"/>
  <c r="N10" i="12"/>
  <c r="O10" i="12" s="1"/>
  <c r="K11" i="13"/>
  <c r="L11" i="13"/>
  <c r="I11" i="13"/>
  <c r="M11" i="13"/>
  <c r="J11" i="13"/>
  <c r="V12" i="13"/>
  <c r="W12" i="13"/>
  <c r="U12" i="13"/>
  <c r="G12" i="13"/>
  <c r="H12" i="13" s="1"/>
  <c r="S12" i="13"/>
  <c r="T12" i="13"/>
  <c r="B12" i="7"/>
  <c r="B12" i="6"/>
  <c r="T11" i="12"/>
  <c r="V11" i="12"/>
  <c r="S11" i="12"/>
  <c r="W11" i="12"/>
  <c r="U11" i="12"/>
  <c r="C23" i="4"/>
  <c r="P14" i="13"/>
  <c r="Q14" i="13" s="1"/>
  <c r="R14" i="13" s="1"/>
  <c r="B13" i="13"/>
  <c r="C13" i="13" s="1"/>
  <c r="D14" i="13"/>
  <c r="E14" i="13" s="1"/>
  <c r="F14" i="13" s="1"/>
  <c r="G12" i="12"/>
  <c r="H12" i="12" s="1"/>
  <c r="C12" i="12"/>
  <c r="M11" i="12"/>
  <c r="K11" i="12"/>
  <c r="L11" i="12"/>
  <c r="I11" i="12"/>
  <c r="J11" i="12"/>
  <c r="F11" i="15"/>
  <c r="G11" i="15" s="1"/>
  <c r="G20" i="17" s="1"/>
  <c r="X10" i="12"/>
  <c r="Y10" i="12" s="1"/>
  <c r="I23" i="4"/>
  <c r="F23" i="4"/>
  <c r="C14" i="15"/>
  <c r="B14" i="15"/>
  <c r="C11" i="6"/>
  <c r="C11" i="7"/>
  <c r="H11" i="7" s="1"/>
  <c r="I11" i="7" s="1"/>
  <c r="X11" i="13"/>
  <c r="Y11" i="13" s="1"/>
  <c r="F11" i="14"/>
  <c r="G11" i="14" s="1"/>
  <c r="D20" i="17" s="1"/>
  <c r="I10" i="14"/>
  <c r="C19" i="17" s="1"/>
  <c r="E13" i="14"/>
  <c r="N12" i="14"/>
  <c r="M12" i="14"/>
  <c r="L12" i="14"/>
  <c r="K12" i="14"/>
  <c r="J12" i="14"/>
  <c r="D13" i="14"/>
  <c r="C14" i="14"/>
  <c r="B14" i="14"/>
  <c r="H17" i="20" l="1"/>
  <c r="J17" i="20" s="1"/>
  <c r="D18" i="20"/>
  <c r="H18" i="20" s="1"/>
  <c r="B19" i="20"/>
  <c r="A19" i="20"/>
  <c r="C14" i="19"/>
  <c r="D14" i="19" s="1"/>
  <c r="F14" i="19"/>
  <c r="G14" i="19" s="1"/>
  <c r="J13" i="19"/>
  <c r="A15" i="19"/>
  <c r="B15" i="19"/>
  <c r="E15" i="19" s="1"/>
  <c r="G9" i="16"/>
  <c r="K10" i="6"/>
  <c r="L10" i="6" s="1"/>
  <c r="E10" i="16"/>
  <c r="F19" i="17"/>
  <c r="H19" i="17" s="1"/>
  <c r="F10" i="6" s="1"/>
  <c r="I10" i="6"/>
  <c r="J10" i="6" s="1"/>
  <c r="H11" i="14"/>
  <c r="I11" i="16" s="1"/>
  <c r="J10" i="16"/>
  <c r="C13" i="16"/>
  <c r="B22" i="17"/>
  <c r="B22" i="4"/>
  <c r="F10" i="16"/>
  <c r="D12" i="16"/>
  <c r="I20" i="17"/>
  <c r="G11" i="6" s="1"/>
  <c r="H11" i="6" s="1"/>
  <c r="J13" i="15"/>
  <c r="E22" i="4"/>
  <c r="E22" i="17"/>
  <c r="F12" i="15"/>
  <c r="G12" i="15" s="1"/>
  <c r="G21" i="17" s="1"/>
  <c r="N13" i="15"/>
  <c r="D14" i="15"/>
  <c r="L13" i="15"/>
  <c r="K13" i="15"/>
  <c r="B13" i="16"/>
  <c r="M13" i="15"/>
  <c r="X11" i="12"/>
  <c r="Y11" i="12" s="1"/>
  <c r="H23" i="4"/>
  <c r="N11" i="13"/>
  <c r="O11" i="13" s="1"/>
  <c r="T13" i="13"/>
  <c r="S13" i="13"/>
  <c r="G13" i="13"/>
  <c r="H13" i="13" s="1"/>
  <c r="V13" i="13"/>
  <c r="W13" i="13"/>
  <c r="U13" i="13"/>
  <c r="A16" i="14"/>
  <c r="A16" i="7"/>
  <c r="G16" i="7" s="1"/>
  <c r="A16" i="12"/>
  <c r="E15" i="6"/>
  <c r="A16" i="15"/>
  <c r="A16" i="13"/>
  <c r="A16" i="16"/>
  <c r="G25" i="4"/>
  <c r="D25" i="4"/>
  <c r="X12" i="13"/>
  <c r="Y12" i="13" s="1"/>
  <c r="P15" i="12"/>
  <c r="Q15" i="12" s="1"/>
  <c r="R15" i="12" s="1"/>
  <c r="B14" i="12"/>
  <c r="D15" i="12"/>
  <c r="E15" i="12" s="1"/>
  <c r="F15" i="12" s="1"/>
  <c r="E14" i="15"/>
  <c r="H11" i="15"/>
  <c r="H11" i="16" s="1"/>
  <c r="I11" i="15"/>
  <c r="L12" i="13"/>
  <c r="M12" i="13"/>
  <c r="K12" i="13"/>
  <c r="I12" i="13"/>
  <c r="J12" i="13"/>
  <c r="B14" i="13"/>
  <c r="C14" i="13" s="1"/>
  <c r="D15" i="13"/>
  <c r="E15" i="13" s="1"/>
  <c r="F15" i="13" s="1"/>
  <c r="P15" i="13"/>
  <c r="Q15" i="13" s="1"/>
  <c r="R15" i="13" s="1"/>
  <c r="B13" i="7"/>
  <c r="B13" i="6"/>
  <c r="C12" i="6"/>
  <c r="C12" i="7"/>
  <c r="H12" i="7" s="1"/>
  <c r="I12" i="7" s="1"/>
  <c r="C24" i="4"/>
  <c r="I24" i="4"/>
  <c r="F24" i="4"/>
  <c r="C15" i="15"/>
  <c r="B15" i="15"/>
  <c r="V12" i="12"/>
  <c r="S12" i="12"/>
  <c r="W12" i="12"/>
  <c r="T12" i="12"/>
  <c r="U12" i="12"/>
  <c r="D11" i="7"/>
  <c r="J11" i="7" s="1"/>
  <c r="L12" i="12"/>
  <c r="J12" i="12"/>
  <c r="M12" i="12"/>
  <c r="K12" i="12"/>
  <c r="I12" i="12"/>
  <c r="Q14" i="12"/>
  <c r="R14" i="12" s="1"/>
  <c r="N11" i="12"/>
  <c r="O11" i="12" s="1"/>
  <c r="C13" i="12"/>
  <c r="G13" i="12"/>
  <c r="H13" i="12" s="1"/>
  <c r="D15" i="6"/>
  <c r="E15" i="7" s="1"/>
  <c r="A14" i="6"/>
  <c r="F14" i="7"/>
  <c r="I11" i="14"/>
  <c r="C20" i="17" s="1"/>
  <c r="E14" i="14"/>
  <c r="J13" i="14"/>
  <c r="N13" i="14"/>
  <c r="M13" i="14"/>
  <c r="L13" i="14"/>
  <c r="K13" i="14"/>
  <c r="F12" i="14"/>
  <c r="G12" i="14" s="1"/>
  <c r="D21" i="17" s="1"/>
  <c r="D14" i="14"/>
  <c r="C15" i="14"/>
  <c r="B15" i="14"/>
  <c r="I17" i="20" l="1"/>
  <c r="I18" i="20"/>
  <c r="A20" i="20"/>
  <c r="D19" i="20"/>
  <c r="H19" i="20" s="1"/>
  <c r="B20" i="20"/>
  <c r="J18" i="20"/>
  <c r="C15" i="19"/>
  <c r="D15" i="19" s="1"/>
  <c r="H15" i="19" s="1"/>
  <c r="I15" i="19" s="1"/>
  <c r="F15" i="19"/>
  <c r="G15" i="19" s="1"/>
  <c r="H14" i="19"/>
  <c r="B16" i="19"/>
  <c r="E16" i="19" s="1"/>
  <c r="A16" i="19"/>
  <c r="D13" i="16"/>
  <c r="G10" i="16"/>
  <c r="J11" i="16"/>
  <c r="K11" i="6"/>
  <c r="L11" i="6" s="1"/>
  <c r="E11" i="16"/>
  <c r="F20" i="17"/>
  <c r="H20" i="17" s="1"/>
  <c r="F11" i="6" s="1"/>
  <c r="I11" i="6"/>
  <c r="J11" i="6" s="1"/>
  <c r="F11" i="16"/>
  <c r="C14" i="16"/>
  <c r="B23" i="17"/>
  <c r="B23" i="4"/>
  <c r="B14" i="16"/>
  <c r="E23" i="4"/>
  <c r="E23" i="17"/>
  <c r="I12" i="15"/>
  <c r="J14" i="15"/>
  <c r="H12" i="15"/>
  <c r="H12" i="16" s="1"/>
  <c r="M14" i="15"/>
  <c r="N14" i="15"/>
  <c r="K14" i="15"/>
  <c r="L14" i="15"/>
  <c r="F13" i="15"/>
  <c r="G13" i="15" s="1"/>
  <c r="G22" i="17" s="1"/>
  <c r="D15" i="15"/>
  <c r="X12" i="12"/>
  <c r="Y12" i="12" s="1"/>
  <c r="C25" i="4"/>
  <c r="P16" i="12"/>
  <c r="Q16" i="12" s="1"/>
  <c r="R16" i="12" s="1"/>
  <c r="B15" i="12"/>
  <c r="D16" i="12"/>
  <c r="E16" i="12" s="1"/>
  <c r="F16" i="12" s="1"/>
  <c r="G14" i="12"/>
  <c r="H14" i="12" s="1"/>
  <c r="C14" i="12"/>
  <c r="F25" i="4"/>
  <c r="I25" i="4"/>
  <c r="K13" i="13"/>
  <c r="M13" i="13"/>
  <c r="I13" i="13"/>
  <c r="L13" i="13"/>
  <c r="J13" i="13"/>
  <c r="D12" i="7"/>
  <c r="J12" i="7" s="1"/>
  <c r="W14" i="13"/>
  <c r="S14" i="13"/>
  <c r="G14" i="13"/>
  <c r="H14" i="13" s="1"/>
  <c r="U14" i="13"/>
  <c r="T14" i="13"/>
  <c r="V14" i="13"/>
  <c r="X13" i="13"/>
  <c r="Y13" i="13" s="1"/>
  <c r="B14" i="7"/>
  <c r="B14" i="6"/>
  <c r="H24" i="4"/>
  <c r="C13" i="6"/>
  <c r="C13" i="7"/>
  <c r="H13" i="7" s="1"/>
  <c r="I13" i="7" s="1"/>
  <c r="B15" i="13"/>
  <c r="C15" i="13" s="1"/>
  <c r="D16" i="13"/>
  <c r="E16" i="13" s="1"/>
  <c r="F16" i="13" s="1"/>
  <c r="P16" i="13"/>
  <c r="A17" i="16"/>
  <c r="A17" i="15"/>
  <c r="A17" i="13"/>
  <c r="A17" i="12"/>
  <c r="A17" i="7"/>
  <c r="G17" i="7" s="1"/>
  <c r="A17" i="14"/>
  <c r="E16" i="6"/>
  <c r="G26" i="4"/>
  <c r="D26" i="4"/>
  <c r="W13" i="12"/>
  <c r="V13" i="12"/>
  <c r="S13" i="12"/>
  <c r="T13" i="12"/>
  <c r="U13" i="12"/>
  <c r="D16" i="6"/>
  <c r="E16" i="7" s="1"/>
  <c r="A15" i="6"/>
  <c r="F15" i="7"/>
  <c r="J13" i="12"/>
  <c r="M13" i="12"/>
  <c r="K13" i="12"/>
  <c r="I13" i="12"/>
  <c r="L13" i="12"/>
  <c r="N12" i="12"/>
  <c r="O12" i="12" s="1"/>
  <c r="E15" i="15"/>
  <c r="N12" i="13"/>
  <c r="O12" i="13" s="1"/>
  <c r="C16" i="15"/>
  <c r="B16" i="15"/>
  <c r="E15" i="14"/>
  <c r="K14" i="14"/>
  <c r="J14" i="14"/>
  <c r="L14" i="14"/>
  <c r="N14" i="14"/>
  <c r="M14" i="14"/>
  <c r="F13" i="14"/>
  <c r="G13" i="14" s="1"/>
  <c r="D22" i="17" s="1"/>
  <c r="I12" i="14"/>
  <c r="C21" i="17" s="1"/>
  <c r="H12" i="14"/>
  <c r="I12" i="16" s="1"/>
  <c r="C16" i="14"/>
  <c r="B16" i="14"/>
  <c r="D15" i="14"/>
  <c r="B21" i="20" l="1"/>
  <c r="A21" i="20"/>
  <c r="D20" i="20"/>
  <c r="J19" i="20"/>
  <c r="I19" i="20"/>
  <c r="J14" i="19"/>
  <c r="I14" i="19"/>
  <c r="C16" i="19"/>
  <c r="D16" i="19" s="1"/>
  <c r="F16" i="19"/>
  <c r="G16" i="19" s="1"/>
  <c r="J15" i="19"/>
  <c r="B17" i="19"/>
  <c r="E17" i="19" s="1"/>
  <c r="A17" i="19"/>
  <c r="D14" i="16"/>
  <c r="G11" i="16"/>
  <c r="K12" i="6"/>
  <c r="L12" i="6" s="1"/>
  <c r="E12" i="16"/>
  <c r="F21" i="17"/>
  <c r="H21" i="17" s="1"/>
  <c r="F12" i="6" s="1"/>
  <c r="I12" i="6"/>
  <c r="J12" i="6" s="1"/>
  <c r="F12" i="16"/>
  <c r="C15" i="16"/>
  <c r="B24" i="4"/>
  <c r="B24" i="17"/>
  <c r="K15" i="15"/>
  <c r="E24" i="17"/>
  <c r="E24" i="4"/>
  <c r="I21" i="17"/>
  <c r="G12" i="6" s="1"/>
  <c r="H12" i="6" s="1"/>
  <c r="I13" i="15"/>
  <c r="J15" i="15"/>
  <c r="M15" i="15"/>
  <c r="J12" i="16"/>
  <c r="N15" i="15"/>
  <c r="L15" i="15"/>
  <c r="B15" i="16"/>
  <c r="F14" i="15"/>
  <c r="G14" i="15" s="1"/>
  <c r="G23" i="17" s="1"/>
  <c r="H13" i="15"/>
  <c r="H13" i="16" s="1"/>
  <c r="D16" i="15"/>
  <c r="H25" i="4"/>
  <c r="N13" i="13"/>
  <c r="O13" i="13" s="1"/>
  <c r="B15" i="7"/>
  <c r="B15" i="6"/>
  <c r="P17" i="12"/>
  <c r="Q17" i="12" s="1"/>
  <c r="R17" i="12" s="1"/>
  <c r="B16" i="12"/>
  <c r="D17" i="12"/>
  <c r="E17" i="12" s="1"/>
  <c r="F17" i="12" s="1"/>
  <c r="C14" i="6"/>
  <c r="C14" i="7"/>
  <c r="H14" i="7" s="1"/>
  <c r="I14" i="7" s="1"/>
  <c r="W14" i="12"/>
  <c r="T14" i="12"/>
  <c r="U14" i="12"/>
  <c r="S14" i="12"/>
  <c r="V14" i="12"/>
  <c r="C26" i="4"/>
  <c r="P17" i="13"/>
  <c r="Q17" i="13" s="1"/>
  <c r="R17" i="13" s="1"/>
  <c r="D17" i="13"/>
  <c r="E17" i="13" s="1"/>
  <c r="F17" i="13" s="1"/>
  <c r="B16" i="13"/>
  <c r="C16" i="13" s="1"/>
  <c r="G15" i="13"/>
  <c r="H15" i="13" s="1"/>
  <c r="S15" i="13"/>
  <c r="W15" i="13"/>
  <c r="V15" i="13"/>
  <c r="U15" i="13"/>
  <c r="T15" i="13"/>
  <c r="I14" i="13"/>
  <c r="J14" i="13"/>
  <c r="K14" i="13"/>
  <c r="L14" i="13"/>
  <c r="M14" i="13"/>
  <c r="C15" i="12"/>
  <c r="G15" i="12"/>
  <c r="H15" i="12" s="1"/>
  <c r="Q16" i="13"/>
  <c r="R16" i="13" s="1"/>
  <c r="F26" i="4"/>
  <c r="I26" i="4"/>
  <c r="B17" i="15"/>
  <c r="C17" i="15"/>
  <c r="X14" i="13"/>
  <c r="Y14" i="13" s="1"/>
  <c r="L14" i="12"/>
  <c r="J14" i="12"/>
  <c r="M14" i="12"/>
  <c r="K14" i="12"/>
  <c r="I14" i="12"/>
  <c r="E16" i="15"/>
  <c r="D17" i="6"/>
  <c r="E17" i="7" s="1"/>
  <c r="A16" i="6"/>
  <c r="F16" i="7"/>
  <c r="D13" i="7"/>
  <c r="J13" i="7" s="1"/>
  <c r="N13" i="12"/>
  <c r="O13" i="12" s="1"/>
  <c r="X13" i="12"/>
  <c r="Y13" i="12" s="1"/>
  <c r="A18" i="12"/>
  <c r="E17" i="6"/>
  <c r="A18" i="14"/>
  <c r="A18" i="7"/>
  <c r="G18" i="7" s="1"/>
  <c r="J18" i="7" s="1"/>
  <c r="A18" i="16"/>
  <c r="A18" i="15"/>
  <c r="A18" i="13"/>
  <c r="D27" i="4"/>
  <c r="G27" i="4"/>
  <c r="E16" i="14"/>
  <c r="F14" i="14"/>
  <c r="G14" i="14" s="1"/>
  <c r="D23" i="17" s="1"/>
  <c r="L15" i="14"/>
  <c r="K15" i="14"/>
  <c r="J15" i="14"/>
  <c r="N15" i="14"/>
  <c r="M15" i="14"/>
  <c r="I13" i="14"/>
  <c r="C22" i="17" s="1"/>
  <c r="H13" i="14"/>
  <c r="I13" i="16" s="1"/>
  <c r="D16" i="14"/>
  <c r="B17" i="14"/>
  <c r="C17" i="14"/>
  <c r="H20" i="20" l="1"/>
  <c r="J20" i="20" s="1"/>
  <c r="D21" i="20"/>
  <c r="H21" i="20" s="1"/>
  <c r="B22" i="20"/>
  <c r="A22" i="20"/>
  <c r="C17" i="19"/>
  <c r="D17" i="19" s="1"/>
  <c r="H17" i="19" s="1"/>
  <c r="I17" i="19" s="1"/>
  <c r="F17" i="19"/>
  <c r="G17" i="19" s="1"/>
  <c r="H16" i="19"/>
  <c r="B18" i="19"/>
  <c r="E18" i="19" s="1"/>
  <c r="A18" i="19"/>
  <c r="G12" i="16"/>
  <c r="K13" i="6"/>
  <c r="L13" i="6" s="1"/>
  <c r="E13" i="16"/>
  <c r="F22" i="17"/>
  <c r="I13" i="6"/>
  <c r="J13" i="6" s="1"/>
  <c r="C16" i="16"/>
  <c r="B25" i="17"/>
  <c r="B25" i="4"/>
  <c r="D15" i="16"/>
  <c r="F13" i="16"/>
  <c r="I14" i="15"/>
  <c r="M16" i="15"/>
  <c r="E25" i="4"/>
  <c r="E25" i="17"/>
  <c r="I22" i="17"/>
  <c r="G13" i="6" s="1"/>
  <c r="H13" i="6" s="1"/>
  <c r="F15" i="15"/>
  <c r="G15" i="15" s="1"/>
  <c r="G24" i="17" s="1"/>
  <c r="J13" i="16"/>
  <c r="N16" i="15"/>
  <c r="L16" i="15"/>
  <c r="J16" i="15"/>
  <c r="B16" i="16"/>
  <c r="K16" i="15"/>
  <c r="H14" i="15"/>
  <c r="H14" i="16" s="1"/>
  <c r="D17" i="15"/>
  <c r="B16" i="7"/>
  <c r="B16" i="6"/>
  <c r="E17" i="15"/>
  <c r="J15" i="12"/>
  <c r="L15" i="12"/>
  <c r="M15" i="12"/>
  <c r="I15" i="12"/>
  <c r="K15" i="12"/>
  <c r="N14" i="13"/>
  <c r="O14" i="13" s="1"/>
  <c r="X15" i="13"/>
  <c r="Y15" i="13" s="1"/>
  <c r="G16" i="12"/>
  <c r="H16" i="12" s="1"/>
  <c r="C16" i="12"/>
  <c r="B17" i="13"/>
  <c r="C17" i="13" s="1"/>
  <c r="P18" i="13"/>
  <c r="Q18" i="13" s="1"/>
  <c r="R18" i="13" s="1"/>
  <c r="D18" i="13"/>
  <c r="E18" i="13" s="1"/>
  <c r="F18" i="13" s="1"/>
  <c r="B17" i="12"/>
  <c r="P18" i="12"/>
  <c r="Q18" i="12" s="1"/>
  <c r="R18" i="12" s="1"/>
  <c r="D18" i="12"/>
  <c r="E18" i="12" s="1"/>
  <c r="F18" i="12" s="1"/>
  <c r="W15" i="12"/>
  <c r="T15" i="12"/>
  <c r="S15" i="12"/>
  <c r="U15" i="12"/>
  <c r="V15" i="12"/>
  <c r="I15" i="13"/>
  <c r="L15" i="13"/>
  <c r="K15" i="13"/>
  <c r="M15" i="13"/>
  <c r="J15" i="13"/>
  <c r="D14" i="7"/>
  <c r="J14" i="7" s="1"/>
  <c r="C15" i="6"/>
  <c r="C15" i="7"/>
  <c r="H15" i="7" s="1"/>
  <c r="I15" i="7" s="1"/>
  <c r="C27" i="4"/>
  <c r="C18" i="15"/>
  <c r="B18" i="15"/>
  <c r="S16" i="13"/>
  <c r="U16" i="13"/>
  <c r="W16" i="13"/>
  <c r="G16" i="13"/>
  <c r="H16" i="13" s="1"/>
  <c r="V16" i="13"/>
  <c r="T16" i="13"/>
  <c r="X14" i="12"/>
  <c r="Y14" i="12" s="1"/>
  <c r="I27" i="4"/>
  <c r="F27" i="4"/>
  <c r="A19" i="14"/>
  <c r="A19" i="7"/>
  <c r="G19" i="7" s="1"/>
  <c r="J19" i="7" s="1"/>
  <c r="A19" i="16"/>
  <c r="A19" i="13"/>
  <c r="A19" i="15"/>
  <c r="A19" i="12"/>
  <c r="E18" i="6"/>
  <c r="G28" i="4"/>
  <c r="D28" i="4"/>
  <c r="C28" i="4" s="1"/>
  <c r="D18" i="6"/>
  <c r="E18" i="7" s="1"/>
  <c r="A17" i="6"/>
  <c r="F17" i="7"/>
  <c r="N14" i="12"/>
  <c r="O14" i="12" s="1"/>
  <c r="H26" i="4"/>
  <c r="M16" i="14"/>
  <c r="L16" i="14"/>
  <c r="K16" i="14"/>
  <c r="N16" i="14"/>
  <c r="J16" i="14"/>
  <c r="F15" i="14"/>
  <c r="G15" i="14" s="1"/>
  <c r="D24" i="17" s="1"/>
  <c r="E17" i="14"/>
  <c r="H14" i="14"/>
  <c r="I14" i="16" s="1"/>
  <c r="I14" i="14"/>
  <c r="C23" i="17" s="1"/>
  <c r="C18" i="14"/>
  <c r="B18" i="14"/>
  <c r="D17" i="14"/>
  <c r="I20" i="20" l="1"/>
  <c r="J21" i="20"/>
  <c r="I21" i="20"/>
  <c r="A23" i="20"/>
  <c r="D22" i="20"/>
  <c r="H22" i="20" s="1"/>
  <c r="B23" i="20"/>
  <c r="J16" i="19"/>
  <c r="I16" i="19"/>
  <c r="C18" i="19"/>
  <c r="D18" i="19" s="1"/>
  <c r="H18" i="19" s="1"/>
  <c r="I18" i="19" s="1"/>
  <c r="F18" i="19"/>
  <c r="G18" i="19" s="1"/>
  <c r="J17" i="19"/>
  <c r="A19" i="19"/>
  <c r="B19" i="19"/>
  <c r="E19" i="19" s="1"/>
  <c r="D16" i="16"/>
  <c r="K14" i="6"/>
  <c r="L14" i="6" s="1"/>
  <c r="G13" i="16"/>
  <c r="E14" i="16"/>
  <c r="F23" i="17"/>
  <c r="H23" i="17" s="1"/>
  <c r="F14" i="6" s="1"/>
  <c r="I14" i="6"/>
  <c r="J14" i="6" s="1"/>
  <c r="C17" i="16"/>
  <c r="B26" i="17"/>
  <c r="B26" i="4"/>
  <c r="F14" i="16"/>
  <c r="H22" i="17"/>
  <c r="F13" i="6" s="1"/>
  <c r="H15" i="15"/>
  <c r="H15" i="16" s="1"/>
  <c r="I23" i="17"/>
  <c r="G14" i="6" s="1"/>
  <c r="H14" i="6" s="1"/>
  <c r="I15" i="15"/>
  <c r="B17" i="16"/>
  <c r="E26" i="17"/>
  <c r="E26" i="4"/>
  <c r="F16" i="15"/>
  <c r="G16" i="15" s="1"/>
  <c r="G25" i="17" s="1"/>
  <c r="J17" i="15"/>
  <c r="K17" i="15"/>
  <c r="L17" i="15"/>
  <c r="M17" i="15"/>
  <c r="N17" i="15"/>
  <c r="J14" i="16"/>
  <c r="D18" i="15"/>
  <c r="N18" i="15" s="1"/>
  <c r="H27" i="4"/>
  <c r="N15" i="12"/>
  <c r="O15" i="12" s="1"/>
  <c r="B18" i="12"/>
  <c r="D19" i="12"/>
  <c r="E19" i="12" s="1"/>
  <c r="F19" i="12" s="1"/>
  <c r="P19" i="12"/>
  <c r="Q19" i="12" s="1"/>
  <c r="R19" i="12" s="1"/>
  <c r="X15" i="12"/>
  <c r="Y15" i="12" s="1"/>
  <c r="V16" i="12"/>
  <c r="S16" i="12"/>
  <c r="U16" i="12"/>
  <c r="W16" i="12"/>
  <c r="T16" i="12"/>
  <c r="C16" i="6"/>
  <c r="C16" i="7"/>
  <c r="H16" i="7" s="1"/>
  <c r="I16" i="7" s="1"/>
  <c r="L16" i="13"/>
  <c r="M16" i="13"/>
  <c r="K16" i="13"/>
  <c r="J16" i="13"/>
  <c r="I16" i="13"/>
  <c r="B19" i="15"/>
  <c r="C19" i="15"/>
  <c r="N15" i="13"/>
  <c r="O15" i="13" s="1"/>
  <c r="C17" i="12"/>
  <c r="G17" i="12"/>
  <c r="H17" i="12" s="1"/>
  <c r="I16" i="12"/>
  <c r="L16" i="12"/>
  <c r="M16" i="12"/>
  <c r="K16" i="12"/>
  <c r="J16" i="12"/>
  <c r="B17" i="7"/>
  <c r="B17" i="6"/>
  <c r="A20" i="16"/>
  <c r="A20" i="15"/>
  <c r="A20" i="14"/>
  <c r="A20" i="7"/>
  <c r="G20" i="7" s="1"/>
  <c r="J20" i="7" s="1"/>
  <c r="A20" i="12"/>
  <c r="E19" i="6"/>
  <c r="A20" i="13"/>
  <c r="D29" i="4"/>
  <c r="G29" i="4"/>
  <c r="P19" i="13"/>
  <c r="Q19" i="13" s="1"/>
  <c r="R19" i="13" s="1"/>
  <c r="B18" i="13"/>
  <c r="C18" i="13" s="1"/>
  <c r="D19" i="13"/>
  <c r="E19" i="13" s="1"/>
  <c r="F19" i="13" s="1"/>
  <c r="X16" i="13"/>
  <c r="Y16" i="13" s="1"/>
  <c r="D19" i="6"/>
  <c r="E19" i="7" s="1"/>
  <c r="A18" i="6"/>
  <c r="F18" i="7"/>
  <c r="F28" i="4"/>
  <c r="H28" i="4" s="1"/>
  <c r="I28" i="4"/>
  <c r="E18" i="15"/>
  <c r="D15" i="7"/>
  <c r="J15" i="7" s="1"/>
  <c r="V17" i="13"/>
  <c r="G17" i="13"/>
  <c r="H17" i="13" s="1"/>
  <c r="S17" i="13"/>
  <c r="W17" i="13"/>
  <c r="T17" i="13"/>
  <c r="U17" i="13"/>
  <c r="F16" i="14"/>
  <c r="G16" i="14" s="1"/>
  <c r="D25" i="17" s="1"/>
  <c r="D18" i="14"/>
  <c r="E18" i="14"/>
  <c r="I15" i="14"/>
  <c r="C24" i="17" s="1"/>
  <c r="H15" i="14"/>
  <c r="I15" i="16" s="1"/>
  <c r="N17" i="14"/>
  <c r="M17" i="14"/>
  <c r="L17" i="14"/>
  <c r="K17" i="14"/>
  <c r="J17" i="14"/>
  <c r="B19" i="14"/>
  <c r="C19" i="14"/>
  <c r="J22" i="20" l="1"/>
  <c r="D23" i="20"/>
  <c r="H23" i="20" s="1"/>
  <c r="B24" i="20"/>
  <c r="A24" i="20"/>
  <c r="I22" i="20"/>
  <c r="C19" i="19"/>
  <c r="D19" i="19" s="1"/>
  <c r="H19" i="19" s="1"/>
  <c r="I19" i="19" s="1"/>
  <c r="F19" i="19"/>
  <c r="G19" i="19" s="1"/>
  <c r="J18" i="19"/>
  <c r="B20" i="19"/>
  <c r="E20" i="19" s="1"/>
  <c r="A20" i="19"/>
  <c r="D17" i="16"/>
  <c r="G14" i="16"/>
  <c r="K15" i="6"/>
  <c r="L15" i="6" s="1"/>
  <c r="J15" i="16"/>
  <c r="I15" i="6"/>
  <c r="J15" i="6" s="1"/>
  <c r="E15" i="16"/>
  <c r="F24" i="17"/>
  <c r="H24" i="17" s="1"/>
  <c r="F15" i="6" s="1"/>
  <c r="F15" i="16"/>
  <c r="C18" i="16"/>
  <c r="B27" i="17"/>
  <c r="B27" i="4"/>
  <c r="I16" i="14"/>
  <c r="C25" i="17" s="1"/>
  <c r="I25" i="17"/>
  <c r="G16" i="6" s="1"/>
  <c r="H16" i="6" s="1"/>
  <c r="H16" i="15"/>
  <c r="H16" i="16" s="1"/>
  <c r="I24" i="17"/>
  <c r="G15" i="6" s="1"/>
  <c r="H15" i="6" s="1"/>
  <c r="I16" i="15"/>
  <c r="K18" i="15"/>
  <c r="E27" i="17"/>
  <c r="E27" i="4"/>
  <c r="L18" i="15"/>
  <c r="F17" i="15"/>
  <c r="G17" i="15" s="1"/>
  <c r="G26" i="17" s="1"/>
  <c r="J18" i="15"/>
  <c r="M18" i="15"/>
  <c r="B18" i="16"/>
  <c r="N16" i="13"/>
  <c r="O16" i="13" s="1"/>
  <c r="D19" i="15"/>
  <c r="K19" i="15" s="1"/>
  <c r="E19" i="15"/>
  <c r="D20" i="6"/>
  <c r="E20" i="7" s="1"/>
  <c r="A19" i="6"/>
  <c r="F19" i="7"/>
  <c r="B18" i="7"/>
  <c r="B18" i="6"/>
  <c r="B19" i="12"/>
  <c r="P20" i="12"/>
  <c r="D20" i="12"/>
  <c r="E20" i="12" s="1"/>
  <c r="F20" i="12" s="1"/>
  <c r="M17" i="13"/>
  <c r="I17" i="13"/>
  <c r="L17" i="13"/>
  <c r="K17" i="13"/>
  <c r="J17" i="13"/>
  <c r="I29" i="4"/>
  <c r="F29" i="4"/>
  <c r="E20" i="6"/>
  <c r="A21" i="15"/>
  <c r="A21" i="16"/>
  <c r="A21" i="12"/>
  <c r="A21" i="7"/>
  <c r="G21" i="7" s="1"/>
  <c r="J21" i="7" s="1"/>
  <c r="A21" i="13"/>
  <c r="A21" i="14"/>
  <c r="D30" i="4"/>
  <c r="G30" i="4"/>
  <c r="N16" i="12"/>
  <c r="O16" i="12" s="1"/>
  <c r="D16" i="7"/>
  <c r="J16" i="7" s="1"/>
  <c r="C29" i="4"/>
  <c r="B20" i="15"/>
  <c r="C20" i="15"/>
  <c r="K17" i="12"/>
  <c r="I17" i="12"/>
  <c r="M17" i="12"/>
  <c r="L17" i="12"/>
  <c r="J17" i="12"/>
  <c r="X16" i="12"/>
  <c r="Y16" i="12" s="1"/>
  <c r="S18" i="13"/>
  <c r="W18" i="13"/>
  <c r="G18" i="13"/>
  <c r="H18" i="13" s="1"/>
  <c r="U18" i="13"/>
  <c r="T18" i="13"/>
  <c r="V18" i="13"/>
  <c r="C17" i="6"/>
  <c r="C17" i="7"/>
  <c r="H17" i="7" s="1"/>
  <c r="I17" i="7" s="1"/>
  <c r="X17" i="13"/>
  <c r="Y17" i="13" s="1"/>
  <c r="P20" i="13"/>
  <c r="Q20" i="13" s="1"/>
  <c r="R20" i="13" s="1"/>
  <c r="B19" i="13"/>
  <c r="C19" i="13" s="1"/>
  <c r="D20" i="13"/>
  <c r="E20" i="13" s="1"/>
  <c r="F20" i="13" s="1"/>
  <c r="S17" i="12"/>
  <c r="T17" i="12"/>
  <c r="U17" i="12"/>
  <c r="W17" i="12"/>
  <c r="V17" i="12"/>
  <c r="C18" i="12"/>
  <c r="G18" i="12"/>
  <c r="H18" i="12" s="1"/>
  <c r="E19" i="14"/>
  <c r="H16" i="14"/>
  <c r="I16" i="16" s="1"/>
  <c r="F17" i="14"/>
  <c r="G17" i="14" s="1"/>
  <c r="D26" i="17" s="1"/>
  <c r="N18" i="14"/>
  <c r="M18" i="14"/>
  <c r="L18" i="14"/>
  <c r="K18" i="14"/>
  <c r="J18" i="14"/>
  <c r="D19" i="14"/>
  <c r="C20" i="14"/>
  <c r="B20" i="14"/>
  <c r="J23" i="20" l="1"/>
  <c r="I23" i="20"/>
  <c r="D24" i="20"/>
  <c r="B25" i="20"/>
  <c r="A25" i="20"/>
  <c r="C20" i="19"/>
  <c r="D20" i="19" s="1"/>
  <c r="H20" i="19" s="1"/>
  <c r="I20" i="19" s="1"/>
  <c r="F20" i="19"/>
  <c r="G20" i="19" s="1"/>
  <c r="J19" i="19"/>
  <c r="A21" i="19"/>
  <c r="B21" i="19"/>
  <c r="E21" i="19" s="1"/>
  <c r="H17" i="15"/>
  <c r="H17" i="16" s="1"/>
  <c r="G15" i="16"/>
  <c r="K16" i="6"/>
  <c r="L16" i="6" s="1"/>
  <c r="E16" i="16"/>
  <c r="F25" i="17"/>
  <c r="H25" i="17" s="1"/>
  <c r="F16" i="6" s="1"/>
  <c r="I16" i="6"/>
  <c r="J16" i="6" s="1"/>
  <c r="F16" i="16"/>
  <c r="C19" i="16"/>
  <c r="B28" i="17"/>
  <c r="B28" i="4"/>
  <c r="D18" i="16"/>
  <c r="I17" i="15"/>
  <c r="M19" i="15"/>
  <c r="E28" i="4"/>
  <c r="E28" i="17"/>
  <c r="I26" i="17"/>
  <c r="G17" i="6" s="1"/>
  <c r="H17" i="6" s="1"/>
  <c r="J16" i="16"/>
  <c r="J19" i="15"/>
  <c r="F18" i="15"/>
  <c r="G18" i="15" s="1"/>
  <c r="G27" i="17" s="1"/>
  <c r="N19" i="15"/>
  <c r="L19" i="15"/>
  <c r="B19" i="16"/>
  <c r="D20" i="15"/>
  <c r="K20" i="15" s="1"/>
  <c r="N17" i="13"/>
  <c r="O17" i="13" s="1"/>
  <c r="H29" i="4"/>
  <c r="I30" i="4"/>
  <c r="F30" i="4"/>
  <c r="C18" i="6"/>
  <c r="C18" i="7"/>
  <c r="H18" i="7" s="1"/>
  <c r="I18" i="7" s="1"/>
  <c r="C19" i="12"/>
  <c r="G19" i="12"/>
  <c r="H19" i="12" s="1"/>
  <c r="C30" i="4"/>
  <c r="B21" i="15"/>
  <c r="C21" i="15"/>
  <c r="E21" i="6"/>
  <c r="A22" i="14"/>
  <c r="A22" i="7"/>
  <c r="G22" i="7" s="1"/>
  <c r="J22" i="7" s="1"/>
  <c r="A22" i="13"/>
  <c r="A22" i="12"/>
  <c r="A22" i="16"/>
  <c r="A22" i="15"/>
  <c r="D31" i="4"/>
  <c r="G31" i="4"/>
  <c r="T18" i="12"/>
  <c r="U18" i="12"/>
  <c r="S18" i="12"/>
  <c r="V18" i="12"/>
  <c r="W18" i="12"/>
  <c r="X17" i="12"/>
  <c r="Y17" i="12" s="1"/>
  <c r="N17" i="12"/>
  <c r="O17" i="12" s="1"/>
  <c r="E20" i="15"/>
  <c r="D21" i="6"/>
  <c r="E21" i="7" s="1"/>
  <c r="A20" i="6"/>
  <c r="F20" i="7"/>
  <c r="P21" i="12"/>
  <c r="Q21" i="12" s="1"/>
  <c r="R21" i="12" s="1"/>
  <c r="D21" i="12"/>
  <c r="E21" i="12" s="1"/>
  <c r="F21" i="12" s="1"/>
  <c r="B20" i="12"/>
  <c r="D17" i="7"/>
  <c r="J17" i="7" s="1"/>
  <c r="X18" i="13"/>
  <c r="Y18" i="13" s="1"/>
  <c r="P21" i="13"/>
  <c r="Q21" i="13" s="1"/>
  <c r="R21" i="13" s="1"/>
  <c r="D21" i="13"/>
  <c r="E21" i="13" s="1"/>
  <c r="F21" i="13" s="1"/>
  <c r="B20" i="13"/>
  <c r="C20" i="13" s="1"/>
  <c r="B19" i="6"/>
  <c r="B19" i="7"/>
  <c r="J18" i="12"/>
  <c r="M18" i="12"/>
  <c r="K18" i="12"/>
  <c r="I18" i="12"/>
  <c r="L18" i="12"/>
  <c r="M18" i="13"/>
  <c r="K18" i="13"/>
  <c r="L18" i="13"/>
  <c r="J18" i="13"/>
  <c r="I18" i="13"/>
  <c r="W19" i="13"/>
  <c r="T19" i="13"/>
  <c r="G19" i="13"/>
  <c r="H19" i="13" s="1"/>
  <c r="V19" i="13"/>
  <c r="S19" i="13"/>
  <c r="U19" i="13"/>
  <c r="Q20" i="12"/>
  <c r="R20" i="12" s="1"/>
  <c r="F18" i="14"/>
  <c r="G18" i="14" s="1"/>
  <c r="D27" i="17" s="1"/>
  <c r="D20" i="14"/>
  <c r="E20" i="14"/>
  <c r="J19" i="14"/>
  <c r="N19" i="14"/>
  <c r="M19" i="14"/>
  <c r="K19" i="14"/>
  <c r="L19" i="14"/>
  <c r="H17" i="14"/>
  <c r="I17" i="16" s="1"/>
  <c r="I17" i="14"/>
  <c r="C26" i="17" s="1"/>
  <c r="C21" i="14"/>
  <c r="B21" i="14"/>
  <c r="H24" i="20" l="1"/>
  <c r="J24" i="20" s="1"/>
  <c r="A26" i="20"/>
  <c r="D25" i="20"/>
  <c r="H25" i="20" s="1"/>
  <c r="B26" i="20"/>
  <c r="C21" i="19"/>
  <c r="D21" i="19" s="1"/>
  <c r="H21" i="19" s="1"/>
  <c r="I21" i="19" s="1"/>
  <c r="F21" i="19"/>
  <c r="G21" i="19" s="1"/>
  <c r="A22" i="19"/>
  <c r="B22" i="19"/>
  <c r="E22" i="19" s="1"/>
  <c r="J20" i="19"/>
  <c r="J20" i="15"/>
  <c r="D19" i="16"/>
  <c r="J17" i="16"/>
  <c r="G16" i="16"/>
  <c r="K17" i="6"/>
  <c r="L17" i="6" s="1"/>
  <c r="E17" i="16"/>
  <c r="F26" i="17"/>
  <c r="H26" i="17" s="1"/>
  <c r="F17" i="6" s="1"/>
  <c r="F19" i="15"/>
  <c r="G19" i="15" s="1"/>
  <c r="G28" i="17" s="1"/>
  <c r="I17" i="6"/>
  <c r="J17" i="6" s="1"/>
  <c r="H18" i="14"/>
  <c r="I18" i="16" s="1"/>
  <c r="I27" i="17"/>
  <c r="G18" i="6" s="1"/>
  <c r="H18" i="6" s="1"/>
  <c r="F17" i="16"/>
  <c r="B29" i="17"/>
  <c r="B29" i="4"/>
  <c r="I18" i="15"/>
  <c r="M20" i="15"/>
  <c r="E29" i="4"/>
  <c r="E29" i="17"/>
  <c r="H18" i="15"/>
  <c r="H18" i="16" s="1"/>
  <c r="N20" i="15"/>
  <c r="B20" i="16"/>
  <c r="L20" i="15"/>
  <c r="C31" i="4"/>
  <c r="D18" i="7"/>
  <c r="P22" i="13"/>
  <c r="B21" i="13"/>
  <c r="C21" i="13" s="1"/>
  <c r="D22" i="13"/>
  <c r="E22" i="13" s="1"/>
  <c r="F22" i="13" s="1"/>
  <c r="C19" i="6"/>
  <c r="C19" i="7"/>
  <c r="H19" i="7" s="1"/>
  <c r="I19" i="7" s="1"/>
  <c r="B20" i="6"/>
  <c r="B20" i="7"/>
  <c r="A23" i="12"/>
  <c r="A23" i="16"/>
  <c r="A23" i="15"/>
  <c r="A23" i="14"/>
  <c r="A23" i="7"/>
  <c r="G23" i="7" s="1"/>
  <c r="J23" i="7" s="1"/>
  <c r="E22" i="6"/>
  <c r="A23" i="13"/>
  <c r="D32" i="4"/>
  <c r="G32" i="4"/>
  <c r="N18" i="13"/>
  <c r="O18" i="13" s="1"/>
  <c r="N18" i="12"/>
  <c r="O18" i="12" s="1"/>
  <c r="C20" i="12"/>
  <c r="G20" i="12"/>
  <c r="H20" i="12" s="1"/>
  <c r="X18" i="12"/>
  <c r="Y18" i="12" s="1"/>
  <c r="B22" i="15"/>
  <c r="C22" i="15"/>
  <c r="D22" i="6"/>
  <c r="E22" i="7" s="1"/>
  <c r="A21" i="6"/>
  <c r="F21" i="7"/>
  <c r="H30" i="4"/>
  <c r="J19" i="13"/>
  <c r="K19" i="13"/>
  <c r="M19" i="13"/>
  <c r="L19" i="13"/>
  <c r="I19" i="13"/>
  <c r="D21" i="15"/>
  <c r="E21" i="15"/>
  <c r="X19" i="13"/>
  <c r="Y19" i="13" s="1"/>
  <c r="W20" i="13"/>
  <c r="G20" i="13"/>
  <c r="H20" i="13" s="1"/>
  <c r="S20" i="13"/>
  <c r="T20" i="13"/>
  <c r="U20" i="13"/>
  <c r="V20" i="13"/>
  <c r="L19" i="12"/>
  <c r="J19" i="12"/>
  <c r="M19" i="12"/>
  <c r="K19" i="12"/>
  <c r="I19" i="12"/>
  <c r="F31" i="4"/>
  <c r="I31" i="4"/>
  <c r="P22" i="12"/>
  <c r="Q22" i="12" s="1"/>
  <c r="R22" i="12" s="1"/>
  <c r="D22" i="12"/>
  <c r="E22" i="12" s="1"/>
  <c r="F22" i="12" s="1"/>
  <c r="B21" i="12"/>
  <c r="T19" i="12"/>
  <c r="V19" i="12"/>
  <c r="U19" i="12"/>
  <c r="S19" i="12"/>
  <c r="W19" i="12"/>
  <c r="K20" i="14"/>
  <c r="C20" i="16"/>
  <c r="I18" i="14"/>
  <c r="C27" i="17" s="1"/>
  <c r="N20" i="14"/>
  <c r="J20" i="14"/>
  <c r="M20" i="14"/>
  <c r="L20" i="14"/>
  <c r="F19" i="14"/>
  <c r="G19" i="14" s="1"/>
  <c r="D28" i="17" s="1"/>
  <c r="E21" i="14"/>
  <c r="D21" i="14"/>
  <c r="C22" i="14"/>
  <c r="B22" i="14"/>
  <c r="I24" i="20" l="1"/>
  <c r="B27" i="20"/>
  <c r="A27" i="20"/>
  <c r="D26" i="20"/>
  <c r="H26" i="20" s="1"/>
  <c r="J25" i="20"/>
  <c r="I25" i="20"/>
  <c r="C22" i="19"/>
  <c r="D22" i="19" s="1"/>
  <c r="H22" i="19" s="1"/>
  <c r="I22" i="19" s="1"/>
  <c r="F22" i="19"/>
  <c r="G22" i="19" s="1"/>
  <c r="J21" i="19"/>
  <c r="B23" i="19"/>
  <c r="E23" i="19" s="1"/>
  <c r="A23" i="19"/>
  <c r="G17" i="16"/>
  <c r="J18" i="16"/>
  <c r="K18" i="6"/>
  <c r="L18" i="6" s="1"/>
  <c r="I19" i="15"/>
  <c r="F28" i="17" s="1"/>
  <c r="E18" i="16"/>
  <c r="F27" i="17"/>
  <c r="H27" i="17" s="1"/>
  <c r="F18" i="6" s="1"/>
  <c r="I18" i="6"/>
  <c r="J18" i="6" s="1"/>
  <c r="H19" i="15"/>
  <c r="H19" i="16" s="1"/>
  <c r="C21" i="16"/>
  <c r="B30" i="4"/>
  <c r="B30" i="17"/>
  <c r="F18" i="16"/>
  <c r="D20" i="16"/>
  <c r="I28" i="17"/>
  <c r="G19" i="6" s="1"/>
  <c r="H19" i="6" s="1"/>
  <c r="F20" i="15"/>
  <c r="G20" i="15" s="1"/>
  <c r="G29" i="17" s="1"/>
  <c r="I19" i="6" s="1"/>
  <c r="J19" i="6" s="1"/>
  <c r="E30" i="17"/>
  <c r="E30" i="4"/>
  <c r="H31" i="4"/>
  <c r="E22" i="15"/>
  <c r="X19" i="12"/>
  <c r="Y19" i="12" s="1"/>
  <c r="B21" i="7"/>
  <c r="B21" i="6"/>
  <c r="T20" i="12"/>
  <c r="U20" i="12"/>
  <c r="W20" i="12"/>
  <c r="V20" i="12"/>
  <c r="S20" i="12"/>
  <c r="P23" i="13"/>
  <c r="Q23" i="13" s="1"/>
  <c r="R23" i="13" s="1"/>
  <c r="B22" i="13"/>
  <c r="C22" i="13" s="1"/>
  <c r="D23" i="13"/>
  <c r="E23" i="13" s="1"/>
  <c r="F23" i="13" s="1"/>
  <c r="B22" i="12"/>
  <c r="P23" i="12"/>
  <c r="Q23" i="12" s="1"/>
  <c r="R23" i="12" s="1"/>
  <c r="D23" i="12"/>
  <c r="E23" i="12" s="1"/>
  <c r="F23" i="12" s="1"/>
  <c r="T21" i="13"/>
  <c r="W21" i="13"/>
  <c r="S21" i="13"/>
  <c r="G21" i="13"/>
  <c r="H21" i="13" s="1"/>
  <c r="U21" i="13"/>
  <c r="V21" i="13"/>
  <c r="C32" i="4"/>
  <c r="N19" i="12"/>
  <c r="O19" i="12" s="1"/>
  <c r="D22" i="15"/>
  <c r="D23" i="6"/>
  <c r="E23" i="7" s="1"/>
  <c r="A22" i="6"/>
  <c r="F22" i="7"/>
  <c r="Q22" i="13"/>
  <c r="R22" i="13" s="1"/>
  <c r="B21" i="16"/>
  <c r="M21" i="15"/>
  <c r="L21" i="15"/>
  <c r="J21" i="15"/>
  <c r="N21" i="15"/>
  <c r="K21" i="15"/>
  <c r="C20" i="6"/>
  <c r="C20" i="7"/>
  <c r="H20" i="7" s="1"/>
  <c r="I20" i="7" s="1"/>
  <c r="C21" i="12"/>
  <c r="G21" i="12"/>
  <c r="H21" i="12" s="1"/>
  <c r="X20" i="13"/>
  <c r="Y20" i="13" s="1"/>
  <c r="N19" i="13"/>
  <c r="O19" i="13" s="1"/>
  <c r="E23" i="6"/>
  <c r="A24" i="14"/>
  <c r="A24" i="7"/>
  <c r="G24" i="7" s="1"/>
  <c r="J24" i="7" s="1"/>
  <c r="E16" i="8" s="1"/>
  <c r="A24" i="13"/>
  <c r="B23" i="13" s="1"/>
  <c r="A24" i="12"/>
  <c r="A24" i="15"/>
  <c r="A24" i="16"/>
  <c r="G33" i="4"/>
  <c r="D33" i="4"/>
  <c r="M20" i="12"/>
  <c r="K20" i="12"/>
  <c r="I20" i="12"/>
  <c r="L20" i="12"/>
  <c r="J20" i="12"/>
  <c r="K20" i="13"/>
  <c r="I20" i="13"/>
  <c r="M20" i="13"/>
  <c r="J20" i="13"/>
  <c r="L20" i="13"/>
  <c r="I32" i="4"/>
  <c r="F32" i="4"/>
  <c r="C23" i="15"/>
  <c r="B23" i="15"/>
  <c r="D19" i="7"/>
  <c r="F20" i="14"/>
  <c r="G20" i="14" s="1"/>
  <c r="D29" i="17" s="1"/>
  <c r="E22" i="14"/>
  <c r="L21" i="14"/>
  <c r="K21" i="14"/>
  <c r="J21" i="14"/>
  <c r="M21" i="14"/>
  <c r="N21" i="14"/>
  <c r="H19" i="14"/>
  <c r="I19" i="16" s="1"/>
  <c r="I19" i="14"/>
  <c r="C28" i="17" s="1"/>
  <c r="D22" i="14"/>
  <c r="B23" i="14"/>
  <c r="C23" i="14"/>
  <c r="J26" i="20" l="1"/>
  <c r="I26" i="20"/>
  <c r="D27" i="20"/>
  <c r="H27" i="20" s="1"/>
  <c r="B28" i="20"/>
  <c r="A28" i="20"/>
  <c r="C23" i="19"/>
  <c r="D23" i="19" s="1"/>
  <c r="H23" i="19" s="1"/>
  <c r="I23" i="19" s="1"/>
  <c r="F23" i="19"/>
  <c r="G23" i="19" s="1"/>
  <c r="J22" i="19"/>
  <c r="B24" i="19"/>
  <c r="E24" i="19" s="1"/>
  <c r="A24" i="19"/>
  <c r="D21" i="16"/>
  <c r="J19" i="16"/>
  <c r="E19" i="16"/>
  <c r="G18" i="16"/>
  <c r="H32" i="4"/>
  <c r="K19" i="6"/>
  <c r="L19" i="6" s="1"/>
  <c r="H20" i="15"/>
  <c r="H20" i="16" s="1"/>
  <c r="F19" i="16"/>
  <c r="H28" i="17"/>
  <c r="F19" i="6" s="1"/>
  <c r="I20" i="14"/>
  <c r="C29" i="17" s="1"/>
  <c r="I29" i="17"/>
  <c r="G20" i="6" s="1"/>
  <c r="H20" i="6" s="1"/>
  <c r="C22" i="16"/>
  <c r="B31" i="17"/>
  <c r="B31" i="4"/>
  <c r="I20" i="15"/>
  <c r="E31" i="17"/>
  <c r="E31" i="4"/>
  <c r="N20" i="13"/>
  <c r="O20" i="13" s="1"/>
  <c r="B23" i="12"/>
  <c r="C24" i="12"/>
  <c r="G24" i="12"/>
  <c r="H24" i="12" s="1"/>
  <c r="P24" i="12"/>
  <c r="D24" i="12"/>
  <c r="C22" i="12"/>
  <c r="G22" i="12"/>
  <c r="H22" i="12" s="1"/>
  <c r="C33" i="4"/>
  <c r="A25" i="14"/>
  <c r="A25" i="16"/>
  <c r="A25" i="15"/>
  <c r="G34" i="4"/>
  <c r="E24" i="6"/>
  <c r="D34" i="4"/>
  <c r="B22" i="7"/>
  <c r="B22" i="6"/>
  <c r="W22" i="13"/>
  <c r="S22" i="13"/>
  <c r="T22" i="13"/>
  <c r="U22" i="13"/>
  <c r="G22" i="13"/>
  <c r="H22" i="13" s="1"/>
  <c r="V22" i="13"/>
  <c r="C23" i="13"/>
  <c r="C24" i="13"/>
  <c r="D24" i="13"/>
  <c r="P24" i="13"/>
  <c r="C21" i="6"/>
  <c r="C21" i="7"/>
  <c r="H21" i="7" s="1"/>
  <c r="I21" i="7" s="1"/>
  <c r="D23" i="15"/>
  <c r="M21" i="12"/>
  <c r="J21" i="12"/>
  <c r="L21" i="12"/>
  <c r="I21" i="12"/>
  <c r="K21" i="12"/>
  <c r="D20" i="7"/>
  <c r="B22" i="16"/>
  <c r="L22" i="15"/>
  <c r="J22" i="15"/>
  <c r="N22" i="15"/>
  <c r="M22" i="15"/>
  <c r="K22" i="15"/>
  <c r="L21" i="13"/>
  <c r="M21" i="13"/>
  <c r="I21" i="13"/>
  <c r="K21" i="13"/>
  <c r="J21" i="13"/>
  <c r="X20" i="12"/>
  <c r="Y20" i="12" s="1"/>
  <c r="F21" i="15"/>
  <c r="G21" i="15" s="1"/>
  <c r="G30" i="17" s="1"/>
  <c r="F33" i="4"/>
  <c r="I33" i="4"/>
  <c r="E23" i="15"/>
  <c r="N20" i="12"/>
  <c r="O20" i="12" s="1"/>
  <c r="C24" i="15"/>
  <c r="B24" i="15"/>
  <c r="D24" i="6"/>
  <c r="E24" i="7" s="1"/>
  <c r="A23" i="6"/>
  <c r="F23" i="7"/>
  <c r="U21" i="12"/>
  <c r="V21" i="12"/>
  <c r="S21" i="12"/>
  <c r="T21" i="12"/>
  <c r="W21" i="12"/>
  <c r="X21" i="13"/>
  <c r="Y21" i="13" s="1"/>
  <c r="H20" i="14"/>
  <c r="I20" i="16" s="1"/>
  <c r="E23" i="14"/>
  <c r="F21" i="14"/>
  <c r="G21" i="14" s="1"/>
  <c r="D30" i="17" s="1"/>
  <c r="M22" i="14"/>
  <c r="L22" i="14"/>
  <c r="K22" i="14"/>
  <c r="J22" i="14"/>
  <c r="N22" i="14"/>
  <c r="C24" i="14"/>
  <c r="B24" i="14"/>
  <c r="D23" i="14"/>
  <c r="I27" i="20" l="1"/>
  <c r="A29" i="20"/>
  <c r="D28" i="20"/>
  <c r="B29" i="20"/>
  <c r="J27" i="20"/>
  <c r="C24" i="19"/>
  <c r="D24" i="19" s="1"/>
  <c r="H24" i="19" s="1"/>
  <c r="I24" i="19" s="1"/>
  <c r="F24" i="19"/>
  <c r="G24" i="19" s="1"/>
  <c r="A25" i="19"/>
  <c r="B25" i="19"/>
  <c r="E25" i="19" s="1"/>
  <c r="J23" i="19"/>
  <c r="Q24" i="13"/>
  <c r="R24" i="13" s="1"/>
  <c r="Q25" i="13"/>
  <c r="R25" i="13" s="1"/>
  <c r="Y25" i="13" s="1"/>
  <c r="E24" i="13"/>
  <c r="F24" i="13" s="1"/>
  <c r="E25" i="13"/>
  <c r="F25" i="13" s="1"/>
  <c r="O25" i="13" s="1"/>
  <c r="E24" i="12"/>
  <c r="F24" i="12" s="1"/>
  <c r="E25" i="12"/>
  <c r="F25" i="12" s="1"/>
  <c r="O25" i="12" s="1"/>
  <c r="Q24" i="12"/>
  <c r="R24" i="12" s="1"/>
  <c r="Q25" i="12"/>
  <c r="R25" i="12" s="1"/>
  <c r="Y25" i="12" s="1"/>
  <c r="D22" i="16"/>
  <c r="J20" i="16"/>
  <c r="G19" i="16"/>
  <c r="H33" i="4"/>
  <c r="K20" i="6"/>
  <c r="L20" i="6" s="1"/>
  <c r="E20" i="16"/>
  <c r="F29" i="17"/>
  <c r="H29" i="17" s="1"/>
  <c r="F20" i="6" s="1"/>
  <c r="I20" i="6"/>
  <c r="J20" i="6" s="1"/>
  <c r="C23" i="16"/>
  <c r="B32" i="17"/>
  <c r="B32" i="4"/>
  <c r="F20" i="16"/>
  <c r="I30" i="17"/>
  <c r="G21" i="6" s="1"/>
  <c r="H21" i="6" s="1"/>
  <c r="E32" i="17"/>
  <c r="E32" i="4"/>
  <c r="D24" i="15"/>
  <c r="L24" i="15" s="1"/>
  <c r="N21" i="12"/>
  <c r="O21" i="12" s="1"/>
  <c r="N21" i="13"/>
  <c r="O21" i="13" s="1"/>
  <c r="F22" i="15"/>
  <c r="G22" i="15" s="1"/>
  <c r="G31" i="17" s="1"/>
  <c r="E24" i="15"/>
  <c r="I21" i="15"/>
  <c r="H21" i="15"/>
  <c r="H21" i="16" s="1"/>
  <c r="B23" i="16"/>
  <c r="J23" i="15"/>
  <c r="N23" i="15"/>
  <c r="M23" i="15"/>
  <c r="L23" i="15"/>
  <c r="K23" i="15"/>
  <c r="B25" i="15"/>
  <c r="C25" i="15"/>
  <c r="C34" i="4"/>
  <c r="V22" i="12"/>
  <c r="S22" i="12"/>
  <c r="W22" i="12"/>
  <c r="T22" i="12"/>
  <c r="U22" i="12"/>
  <c r="G24" i="13"/>
  <c r="H24" i="13" s="1"/>
  <c r="U24" i="13"/>
  <c r="T24" i="13"/>
  <c r="S24" i="13"/>
  <c r="V24" i="13"/>
  <c r="W24" i="13"/>
  <c r="T23" i="13"/>
  <c r="W23" i="13"/>
  <c r="V23" i="13"/>
  <c r="G23" i="13"/>
  <c r="H23" i="13" s="1"/>
  <c r="S23" i="13"/>
  <c r="U23" i="13"/>
  <c r="X22" i="13"/>
  <c r="Y22" i="13" s="1"/>
  <c r="A26" i="15"/>
  <c r="A26" i="16"/>
  <c r="E25" i="6"/>
  <c r="G35" i="4"/>
  <c r="A26" i="14"/>
  <c r="D35" i="4"/>
  <c r="M24" i="12"/>
  <c r="K24" i="12"/>
  <c r="I24" i="12"/>
  <c r="L24" i="12"/>
  <c r="J24" i="12"/>
  <c r="C22" i="6"/>
  <c r="C22" i="7"/>
  <c r="H22" i="7" s="1"/>
  <c r="I22" i="7" s="1"/>
  <c r="X21" i="12"/>
  <c r="Y21" i="12" s="1"/>
  <c r="F24" i="7"/>
  <c r="A24" i="6"/>
  <c r="D25" i="6"/>
  <c r="U24" i="12"/>
  <c r="V24" i="12"/>
  <c r="S24" i="12"/>
  <c r="W24" i="12"/>
  <c r="T24" i="12"/>
  <c r="L22" i="13"/>
  <c r="J22" i="13"/>
  <c r="K22" i="13"/>
  <c r="I22" i="13"/>
  <c r="M22" i="13"/>
  <c r="B23" i="7"/>
  <c r="B23" i="6"/>
  <c r="D21" i="7"/>
  <c r="F34" i="4"/>
  <c r="I34" i="4"/>
  <c r="L22" i="12"/>
  <c r="J22" i="12"/>
  <c r="K22" i="12"/>
  <c r="I22" i="12"/>
  <c r="M22" i="12"/>
  <c r="C23" i="12"/>
  <c r="G23" i="12"/>
  <c r="H23" i="12" s="1"/>
  <c r="N23" i="14"/>
  <c r="M23" i="14"/>
  <c r="L23" i="14"/>
  <c r="K23" i="14"/>
  <c r="J23" i="14"/>
  <c r="F22" i="14"/>
  <c r="G22" i="14" s="1"/>
  <c r="D31" i="17" s="1"/>
  <c r="E24" i="14"/>
  <c r="H21" i="14"/>
  <c r="I21" i="16" s="1"/>
  <c r="I21" i="14"/>
  <c r="C30" i="17" s="1"/>
  <c r="D24" i="14"/>
  <c r="B25" i="14"/>
  <c r="C25" i="14"/>
  <c r="H28" i="20" l="1"/>
  <c r="J28" i="20" s="1"/>
  <c r="B30" i="20"/>
  <c r="A30" i="20"/>
  <c r="D29" i="20"/>
  <c r="H29" i="20" s="1"/>
  <c r="C25" i="19"/>
  <c r="D25" i="19" s="1"/>
  <c r="H25" i="19" s="1"/>
  <c r="I25" i="19" s="1"/>
  <c r="F25" i="19"/>
  <c r="G25" i="19" s="1"/>
  <c r="J24" i="19"/>
  <c r="B26" i="19"/>
  <c r="E26" i="19" s="1"/>
  <c r="A26" i="19"/>
  <c r="G20" i="16"/>
  <c r="D23" i="16"/>
  <c r="K21" i="6"/>
  <c r="L21" i="6" s="1"/>
  <c r="E21" i="16"/>
  <c r="F30" i="17"/>
  <c r="H30" i="17" s="1"/>
  <c r="F21" i="6" s="1"/>
  <c r="I21" i="6"/>
  <c r="J21" i="6" s="1"/>
  <c r="C24" i="16"/>
  <c r="B33" i="4"/>
  <c r="B33" i="17"/>
  <c r="F21" i="16"/>
  <c r="M24" i="15"/>
  <c r="K24" i="15"/>
  <c r="B24" i="16"/>
  <c r="N24" i="15"/>
  <c r="H22" i="15"/>
  <c r="H22" i="16" s="1"/>
  <c r="E33" i="17"/>
  <c r="E33" i="4"/>
  <c r="J24" i="15"/>
  <c r="I22" i="15"/>
  <c r="D25" i="15"/>
  <c r="B25" i="16" s="1"/>
  <c r="E25" i="15"/>
  <c r="N22" i="13"/>
  <c r="O22" i="13" s="1"/>
  <c r="J21" i="16"/>
  <c r="X23" i="13"/>
  <c r="Y23" i="13" s="1"/>
  <c r="X22" i="12"/>
  <c r="Y22" i="12" s="1"/>
  <c r="I23" i="12"/>
  <c r="J23" i="12"/>
  <c r="M23" i="12"/>
  <c r="K23" i="12"/>
  <c r="L23" i="12"/>
  <c r="X24" i="12"/>
  <c r="Y24" i="12" s="1"/>
  <c r="A25" i="6"/>
  <c r="B25" i="6" s="1"/>
  <c r="C25" i="6" s="1"/>
  <c r="D26" i="6"/>
  <c r="L23" i="13"/>
  <c r="J23" i="13"/>
  <c r="K23" i="13"/>
  <c r="M23" i="13"/>
  <c r="I23" i="13"/>
  <c r="X24" i="13"/>
  <c r="Y24" i="13" s="1"/>
  <c r="F23" i="15"/>
  <c r="G23" i="15" s="1"/>
  <c r="G32" i="17" s="1"/>
  <c r="U23" i="12"/>
  <c r="W23" i="12"/>
  <c r="T23" i="12"/>
  <c r="V23" i="12"/>
  <c r="S23" i="12"/>
  <c r="D22" i="7"/>
  <c r="C35" i="4"/>
  <c r="B26" i="15"/>
  <c r="C26" i="15"/>
  <c r="N22" i="12"/>
  <c r="O22" i="12" s="1"/>
  <c r="M24" i="13"/>
  <c r="J24" i="13"/>
  <c r="I24" i="13"/>
  <c r="K24" i="13"/>
  <c r="L24" i="13"/>
  <c r="F35" i="4"/>
  <c r="I35" i="4"/>
  <c r="C23" i="6"/>
  <c r="C23" i="7"/>
  <c r="H23" i="7" s="1"/>
  <c r="I23" i="7" s="1"/>
  <c r="B24" i="7"/>
  <c r="B24" i="6"/>
  <c r="N24" i="12"/>
  <c r="O24" i="12" s="1"/>
  <c r="E26" i="6"/>
  <c r="A27" i="16"/>
  <c r="G36" i="4"/>
  <c r="A27" i="15"/>
  <c r="A27" i="14"/>
  <c r="D36" i="4"/>
  <c r="H34" i="4"/>
  <c r="F23" i="14"/>
  <c r="G23" i="14" s="1"/>
  <c r="D32" i="17" s="1"/>
  <c r="N24" i="14"/>
  <c r="M24" i="14"/>
  <c r="L24" i="14"/>
  <c r="K24" i="14"/>
  <c r="J24" i="14"/>
  <c r="H22" i="14"/>
  <c r="I22" i="16" s="1"/>
  <c r="I22" i="14"/>
  <c r="C31" i="17" s="1"/>
  <c r="E25" i="14"/>
  <c r="D25" i="14"/>
  <c r="B26" i="14"/>
  <c r="C26" i="14"/>
  <c r="I28" i="20" l="1"/>
  <c r="I29" i="20"/>
  <c r="D30" i="20"/>
  <c r="H30" i="20" s="1"/>
  <c r="I30" i="20" s="1"/>
  <c r="B31" i="20"/>
  <c r="A31" i="20"/>
  <c r="J29" i="20"/>
  <c r="C26" i="19"/>
  <c r="D26" i="19" s="1"/>
  <c r="F26" i="19"/>
  <c r="G26" i="19" s="1"/>
  <c r="J25" i="19"/>
  <c r="A27" i="19"/>
  <c r="B27" i="19"/>
  <c r="E27" i="19" s="1"/>
  <c r="Y33" i="13"/>
  <c r="D24" i="16"/>
  <c r="M25" i="15"/>
  <c r="G21" i="16"/>
  <c r="K22" i="6"/>
  <c r="L22" i="6" s="1"/>
  <c r="J22" i="16"/>
  <c r="F24" i="15"/>
  <c r="G24" i="15" s="1"/>
  <c r="G33" i="17" s="1"/>
  <c r="I23" i="6" s="1"/>
  <c r="J23" i="6" s="1"/>
  <c r="E22" i="16"/>
  <c r="F31" i="17"/>
  <c r="H31" i="17" s="1"/>
  <c r="F22" i="6" s="1"/>
  <c r="I22" i="6"/>
  <c r="J22" i="6" s="1"/>
  <c r="F22" i="16"/>
  <c r="H23" i="14"/>
  <c r="I23" i="16" s="1"/>
  <c r="I32" i="17"/>
  <c r="G23" i="6" s="1"/>
  <c r="H23" i="6" s="1"/>
  <c r="C25" i="16"/>
  <c r="D25" i="16" s="1"/>
  <c r="B34" i="4"/>
  <c r="B34" i="17"/>
  <c r="I31" i="17"/>
  <c r="G22" i="6" s="1"/>
  <c r="H22" i="6" s="1"/>
  <c r="J25" i="15"/>
  <c r="E34" i="4"/>
  <c r="E34" i="17"/>
  <c r="N25" i="15"/>
  <c r="K25" i="15"/>
  <c r="L25" i="15"/>
  <c r="D26" i="15"/>
  <c r="H35" i="4"/>
  <c r="C36" i="4"/>
  <c r="A26" i="6"/>
  <c r="B26" i="6" s="1"/>
  <c r="C26" i="6" s="1"/>
  <c r="D27" i="6"/>
  <c r="D23" i="7"/>
  <c r="F36" i="4"/>
  <c r="I36" i="4"/>
  <c r="D37" i="4"/>
  <c r="A28" i="15"/>
  <c r="G37" i="4"/>
  <c r="A28" i="14"/>
  <c r="E27" i="6"/>
  <c r="A28" i="16"/>
  <c r="H23" i="15"/>
  <c r="H23" i="16" s="1"/>
  <c r="I23" i="15"/>
  <c r="C24" i="6"/>
  <c r="C24" i="7"/>
  <c r="H24" i="7" s="1"/>
  <c r="I24" i="7" s="1"/>
  <c r="X23" i="12"/>
  <c r="Y23" i="12" s="1"/>
  <c r="Y33" i="12" s="1"/>
  <c r="B27" i="15"/>
  <c r="C27" i="15"/>
  <c r="N24" i="13"/>
  <c r="O24" i="13" s="1"/>
  <c r="E26" i="15"/>
  <c r="N23" i="13"/>
  <c r="O23" i="13" s="1"/>
  <c r="N23" i="12"/>
  <c r="O23" i="12" s="1"/>
  <c r="O33" i="12" s="1"/>
  <c r="I23" i="14"/>
  <c r="C32" i="17" s="1"/>
  <c r="E26" i="14"/>
  <c r="F24" i="14"/>
  <c r="G24" i="14" s="1"/>
  <c r="D33" i="17" s="1"/>
  <c r="J25" i="14"/>
  <c r="N25" i="14"/>
  <c r="K25" i="14"/>
  <c r="M25" i="14"/>
  <c r="L25" i="14"/>
  <c r="C27" i="14"/>
  <c r="B27" i="14"/>
  <c r="D26" i="14"/>
  <c r="J30" i="20" l="1"/>
  <c r="A32" i="20"/>
  <c r="D31" i="20"/>
  <c r="H31" i="20" s="1"/>
  <c r="B32" i="20"/>
  <c r="C27" i="19"/>
  <c r="D27" i="19" s="1"/>
  <c r="H27" i="19" s="1"/>
  <c r="I27" i="19" s="1"/>
  <c r="F27" i="19"/>
  <c r="G27" i="19" s="1"/>
  <c r="H26" i="19"/>
  <c r="B28" i="19"/>
  <c r="E28" i="19" s="1"/>
  <c r="A28" i="19"/>
  <c r="O33" i="13"/>
  <c r="M35" i="13" s="1"/>
  <c r="O7" i="6" s="1"/>
  <c r="F35" i="12"/>
  <c r="O6" i="6" s="1"/>
  <c r="J23" i="16"/>
  <c r="G22" i="16"/>
  <c r="K23" i="6"/>
  <c r="L23" i="6" s="1"/>
  <c r="I24" i="15"/>
  <c r="F33" i="17" s="1"/>
  <c r="H24" i="15"/>
  <c r="H24" i="16" s="1"/>
  <c r="E23" i="16"/>
  <c r="F32" i="17"/>
  <c r="H32" i="17" s="1"/>
  <c r="F23" i="6" s="1"/>
  <c r="F23" i="16"/>
  <c r="H24" i="14"/>
  <c r="I24" i="16" s="1"/>
  <c r="I33" i="17"/>
  <c r="G24" i="6" s="1"/>
  <c r="H24" i="6" s="1"/>
  <c r="C26" i="16"/>
  <c r="B35" i="4"/>
  <c r="B35" i="17"/>
  <c r="M26" i="15"/>
  <c r="E35" i="4"/>
  <c r="E35" i="17"/>
  <c r="F25" i="15"/>
  <c r="N26" i="15"/>
  <c r="B26" i="16"/>
  <c r="K26" i="15"/>
  <c r="L26" i="15"/>
  <c r="J26" i="15"/>
  <c r="D27" i="15"/>
  <c r="E27" i="15"/>
  <c r="C37" i="4"/>
  <c r="E28" i="6"/>
  <c r="A29" i="16"/>
  <c r="G38" i="4"/>
  <c r="A29" i="14"/>
  <c r="D38" i="4"/>
  <c r="A29" i="15"/>
  <c r="B28" i="15"/>
  <c r="C28" i="15"/>
  <c r="A27" i="6"/>
  <c r="B27" i="6" s="1"/>
  <c r="C27" i="6" s="1"/>
  <c r="D28" i="6"/>
  <c r="D24" i="7"/>
  <c r="F37" i="4"/>
  <c r="I37" i="4"/>
  <c r="H36" i="4"/>
  <c r="I24" i="14"/>
  <c r="C33" i="17" s="1"/>
  <c r="K26" i="14"/>
  <c r="J26" i="14"/>
  <c r="N26" i="14"/>
  <c r="L26" i="14"/>
  <c r="M26" i="14"/>
  <c r="E27" i="14"/>
  <c r="F25" i="14"/>
  <c r="G25" i="14" s="1"/>
  <c r="D34" i="17" s="1"/>
  <c r="K24" i="6" s="1"/>
  <c r="L24" i="6" s="1"/>
  <c r="C28" i="14"/>
  <c r="B28" i="14"/>
  <c r="D27" i="14"/>
  <c r="B33" i="20" l="1"/>
  <c r="A33" i="20"/>
  <c r="D32" i="20"/>
  <c r="J31" i="20"/>
  <c r="I31" i="20"/>
  <c r="J26" i="19"/>
  <c r="I26" i="19"/>
  <c r="C28" i="19"/>
  <c r="D28" i="19" s="1"/>
  <c r="H28" i="19" s="1"/>
  <c r="I28" i="19" s="1"/>
  <c r="F28" i="19"/>
  <c r="G28" i="19" s="1"/>
  <c r="J27" i="19"/>
  <c r="B29" i="19"/>
  <c r="E29" i="19" s="1"/>
  <c r="A29" i="19"/>
  <c r="D26" i="16"/>
  <c r="E24" i="16"/>
  <c r="O8" i="6"/>
  <c r="E18" i="8" s="1"/>
  <c r="G23" i="16"/>
  <c r="J24" i="16"/>
  <c r="I25" i="15"/>
  <c r="G25" i="15"/>
  <c r="G34" i="17" s="1"/>
  <c r="F24" i="16"/>
  <c r="H33" i="17"/>
  <c r="F24" i="6" s="1"/>
  <c r="C27" i="16"/>
  <c r="B36" i="4"/>
  <c r="B36" i="17"/>
  <c r="F26" i="15"/>
  <c r="J27" i="15"/>
  <c r="E36" i="17"/>
  <c r="E36" i="4"/>
  <c r="H25" i="15"/>
  <c r="H25" i="16" s="1"/>
  <c r="M27" i="15"/>
  <c r="N27" i="15"/>
  <c r="K27" i="15"/>
  <c r="L27" i="15"/>
  <c r="B27" i="16"/>
  <c r="D28" i="15"/>
  <c r="H37" i="4"/>
  <c r="C29" i="15"/>
  <c r="B29" i="15"/>
  <c r="A28" i="6"/>
  <c r="B28" i="6" s="1"/>
  <c r="C28" i="6" s="1"/>
  <c r="D29" i="6"/>
  <c r="E29" i="6"/>
  <c r="A30" i="14"/>
  <c r="G39" i="4"/>
  <c r="D39" i="4"/>
  <c r="A30" i="16"/>
  <c r="A30" i="15"/>
  <c r="C38" i="4"/>
  <c r="E28" i="15"/>
  <c r="F38" i="4"/>
  <c r="I38" i="4"/>
  <c r="L27" i="14"/>
  <c r="K27" i="14"/>
  <c r="J27" i="14"/>
  <c r="M27" i="14"/>
  <c r="N27" i="14"/>
  <c r="E28" i="14"/>
  <c r="F26" i="14"/>
  <c r="G26" i="14" s="1"/>
  <c r="D35" i="17" s="1"/>
  <c r="K25" i="6" s="1"/>
  <c r="L25" i="6" s="1"/>
  <c r="H25" i="14"/>
  <c r="I25" i="16" s="1"/>
  <c r="I25" i="14"/>
  <c r="C34" i="17" s="1"/>
  <c r="D28" i="14"/>
  <c r="B29" i="14"/>
  <c r="C29" i="14"/>
  <c r="H32" i="20" l="1"/>
  <c r="I32" i="20" s="1"/>
  <c r="D33" i="20"/>
  <c r="H33" i="20" s="1"/>
  <c r="I33" i="20" s="1"/>
  <c r="A34" i="20"/>
  <c r="B34" i="20"/>
  <c r="C29" i="19"/>
  <c r="D29" i="19" s="1"/>
  <c r="H29" i="19" s="1"/>
  <c r="I29" i="19" s="1"/>
  <c r="F29" i="19"/>
  <c r="G29" i="19" s="1"/>
  <c r="J28" i="19"/>
  <c r="B30" i="19"/>
  <c r="E30" i="19" s="1"/>
  <c r="A30" i="19"/>
  <c r="G24" i="16"/>
  <c r="I24" i="6"/>
  <c r="J24" i="6" s="1"/>
  <c r="E25" i="16"/>
  <c r="F34" i="17"/>
  <c r="H34" i="17" s="1"/>
  <c r="F25" i="6" s="1"/>
  <c r="G26" i="15"/>
  <c r="G35" i="17" s="1"/>
  <c r="F25" i="16"/>
  <c r="C28" i="16"/>
  <c r="B37" i="17"/>
  <c r="B37" i="4"/>
  <c r="D27" i="16"/>
  <c r="I26" i="15"/>
  <c r="H26" i="15"/>
  <c r="H26" i="16" s="1"/>
  <c r="F27" i="15"/>
  <c r="H27" i="15" s="1"/>
  <c r="H27" i="16" s="1"/>
  <c r="L28" i="15"/>
  <c r="E37" i="4"/>
  <c r="E37" i="17"/>
  <c r="J25" i="16"/>
  <c r="I34" i="17"/>
  <c r="G25" i="6" s="1"/>
  <c r="H25" i="6" s="1"/>
  <c r="N28" i="15"/>
  <c r="B28" i="16"/>
  <c r="J28" i="15"/>
  <c r="M28" i="15"/>
  <c r="K28" i="15"/>
  <c r="D29" i="15"/>
  <c r="A31" i="14"/>
  <c r="D40" i="4"/>
  <c r="A31" i="16"/>
  <c r="E30" i="6"/>
  <c r="G40" i="4"/>
  <c r="A31" i="15"/>
  <c r="D30" i="6"/>
  <c r="A29" i="6"/>
  <c r="B29" i="6" s="1"/>
  <c r="C29" i="6" s="1"/>
  <c r="C30" i="15"/>
  <c r="B30" i="15"/>
  <c r="E29" i="15"/>
  <c r="C39" i="4"/>
  <c r="H38" i="4"/>
  <c r="F39" i="4"/>
  <c r="I39" i="4"/>
  <c r="E29" i="14"/>
  <c r="M28" i="14"/>
  <c r="L28" i="14"/>
  <c r="K28" i="14"/>
  <c r="J28" i="14"/>
  <c r="N28" i="14"/>
  <c r="F27" i="14"/>
  <c r="G27" i="14" s="1"/>
  <c r="D36" i="17" s="1"/>
  <c r="I26" i="14"/>
  <c r="C35" i="17" s="1"/>
  <c r="H26" i="14"/>
  <c r="I26" i="16" s="1"/>
  <c r="C30" i="14"/>
  <c r="B30" i="14"/>
  <c r="D29" i="14"/>
  <c r="J32" i="20" l="1"/>
  <c r="A35" i="20"/>
  <c r="D34" i="20"/>
  <c r="H34" i="20" s="1"/>
  <c r="B35" i="20"/>
  <c r="J33" i="20"/>
  <c r="C30" i="19"/>
  <c r="D30" i="19" s="1"/>
  <c r="H30" i="19" s="1"/>
  <c r="I30" i="19" s="1"/>
  <c r="F30" i="19"/>
  <c r="G30" i="19" s="1"/>
  <c r="J29" i="19"/>
  <c r="A31" i="19"/>
  <c r="B31" i="19"/>
  <c r="E31" i="19" s="1"/>
  <c r="D28" i="16"/>
  <c r="K26" i="6"/>
  <c r="L26" i="6" s="1"/>
  <c r="I35" i="17"/>
  <c r="G26" i="6" s="1"/>
  <c r="H26" i="6" s="1"/>
  <c r="G27" i="15"/>
  <c r="G36" i="17" s="1"/>
  <c r="E26" i="16"/>
  <c r="F35" i="17"/>
  <c r="H35" i="17" s="1"/>
  <c r="F26" i="6" s="1"/>
  <c r="G25" i="16"/>
  <c r="I25" i="6"/>
  <c r="J25" i="6" s="1"/>
  <c r="F26" i="16"/>
  <c r="C29" i="16"/>
  <c r="B38" i="17"/>
  <c r="B38" i="4"/>
  <c r="J26" i="16"/>
  <c r="I27" i="15"/>
  <c r="L29" i="15"/>
  <c r="E38" i="17"/>
  <c r="E38" i="4"/>
  <c r="F28" i="15"/>
  <c r="G28" i="15" s="1"/>
  <c r="G37" i="17" s="1"/>
  <c r="C40" i="4"/>
  <c r="A30" i="6"/>
  <c r="B31" i="6" s="1"/>
  <c r="C31" i="6" s="1"/>
  <c r="D31" i="6"/>
  <c r="B29" i="16"/>
  <c r="K29" i="15"/>
  <c r="M29" i="15"/>
  <c r="N29" i="15"/>
  <c r="J29" i="15"/>
  <c r="H39" i="4"/>
  <c r="E30" i="15"/>
  <c r="F40" i="4"/>
  <c r="I40" i="4"/>
  <c r="A32" i="16"/>
  <c r="G41" i="4"/>
  <c r="A32" i="14"/>
  <c r="D41" i="4"/>
  <c r="A32" i="15"/>
  <c r="D30" i="15"/>
  <c r="C31" i="15"/>
  <c r="B31" i="15"/>
  <c r="I27" i="14"/>
  <c r="C36" i="17" s="1"/>
  <c r="H27" i="14"/>
  <c r="I27" i="16" s="1"/>
  <c r="J27" i="16" s="1"/>
  <c r="E30" i="14"/>
  <c r="F28" i="14"/>
  <c r="G28" i="14" s="1"/>
  <c r="D37" i="17" s="1"/>
  <c r="N29" i="14"/>
  <c r="M29" i="14"/>
  <c r="L29" i="14"/>
  <c r="K29" i="14"/>
  <c r="J29" i="14"/>
  <c r="B31" i="14"/>
  <c r="C31" i="14"/>
  <c r="D30" i="14"/>
  <c r="I34" i="20" l="1"/>
  <c r="B36" i="20"/>
  <c r="A36" i="20"/>
  <c r="D35" i="20"/>
  <c r="J34" i="20"/>
  <c r="C31" i="19"/>
  <c r="D31" i="19" s="1"/>
  <c r="H31" i="19" s="1"/>
  <c r="I31" i="19" s="1"/>
  <c r="F31" i="19"/>
  <c r="G31" i="19" s="1"/>
  <c r="J30" i="19"/>
  <c r="B32" i="19"/>
  <c r="E32" i="19" s="1"/>
  <c r="A32" i="19"/>
  <c r="H40" i="4"/>
  <c r="K27" i="6"/>
  <c r="L27" i="6" s="1"/>
  <c r="I27" i="6"/>
  <c r="J27" i="6" s="1"/>
  <c r="E27" i="16"/>
  <c r="F36" i="17"/>
  <c r="H36" i="17" s="1"/>
  <c r="F27" i="6" s="1"/>
  <c r="G26" i="16"/>
  <c r="I36" i="17"/>
  <c r="G27" i="6" s="1"/>
  <c r="H27" i="6" s="1"/>
  <c r="I26" i="6"/>
  <c r="J26" i="6" s="1"/>
  <c r="D29" i="16"/>
  <c r="F27" i="16"/>
  <c r="C30" i="16"/>
  <c r="B39" i="17"/>
  <c r="B39" i="4"/>
  <c r="H28" i="15"/>
  <c r="H28" i="16" s="1"/>
  <c r="E39" i="17"/>
  <c r="E39" i="4"/>
  <c r="I37" i="17"/>
  <c r="G28" i="6" s="1"/>
  <c r="H28" i="6" s="1"/>
  <c r="I28" i="15"/>
  <c r="I42" i="17"/>
  <c r="G33" i="6" s="1"/>
  <c r="H33" i="6" s="1"/>
  <c r="H42" i="17"/>
  <c r="F33" i="6" s="1"/>
  <c r="C41" i="4"/>
  <c r="B30" i="6"/>
  <c r="C30" i="6" s="1"/>
  <c r="F29" i="15"/>
  <c r="G29" i="15" s="1"/>
  <c r="G38" i="17" s="1"/>
  <c r="I28" i="6" s="1"/>
  <c r="J28" i="6" s="1"/>
  <c r="D31" i="15"/>
  <c r="F41" i="4"/>
  <c r="I41" i="4"/>
  <c r="B30" i="16"/>
  <c r="J30" i="15"/>
  <c r="N30" i="15"/>
  <c r="L30" i="15"/>
  <c r="K30" i="15"/>
  <c r="M30" i="15"/>
  <c r="G42" i="4"/>
  <c r="D42" i="4"/>
  <c r="C42" i="4" s="1"/>
  <c r="E31" i="15"/>
  <c r="C32" i="15"/>
  <c r="B32" i="15"/>
  <c r="H28" i="14"/>
  <c r="I28" i="16" s="1"/>
  <c r="I28" i="14"/>
  <c r="C37" i="17" s="1"/>
  <c r="F29" i="14"/>
  <c r="G29" i="14" s="1"/>
  <c r="D38" i="17" s="1"/>
  <c r="N30" i="14"/>
  <c r="M30" i="14"/>
  <c r="L30" i="14"/>
  <c r="K30" i="14"/>
  <c r="J30" i="14"/>
  <c r="E31" i="14"/>
  <c r="D31" i="14"/>
  <c r="C32" i="14"/>
  <c r="B32" i="14"/>
  <c r="H35" i="20" l="1"/>
  <c r="J35" i="20" s="1"/>
  <c r="D36" i="20"/>
  <c r="H36" i="20" s="1"/>
  <c r="I36" i="20" s="1"/>
  <c r="B37" i="20"/>
  <c r="A37" i="20"/>
  <c r="C32" i="19"/>
  <c r="D32" i="19" s="1"/>
  <c r="H32" i="19" s="1"/>
  <c r="I32" i="19" s="1"/>
  <c r="F32" i="19"/>
  <c r="G32" i="19" s="1"/>
  <c r="J31" i="19"/>
  <c r="A33" i="19"/>
  <c r="B33" i="19"/>
  <c r="E33" i="19" s="1"/>
  <c r="G27" i="16"/>
  <c r="D30" i="16"/>
  <c r="H41" i="4"/>
  <c r="K28" i="6"/>
  <c r="L28" i="6" s="1"/>
  <c r="E28" i="16"/>
  <c r="F37" i="17"/>
  <c r="H37" i="17" s="1"/>
  <c r="F28" i="6" s="1"/>
  <c r="C31" i="16"/>
  <c r="B40" i="17"/>
  <c r="B40" i="4"/>
  <c r="F28" i="16"/>
  <c r="J28" i="16"/>
  <c r="B31" i="16"/>
  <c r="E40" i="4"/>
  <c r="E40" i="17"/>
  <c r="H29" i="15"/>
  <c r="H29" i="16" s="1"/>
  <c r="H43" i="17"/>
  <c r="F34" i="6" s="1"/>
  <c r="I43" i="17"/>
  <c r="G34" i="6" s="1"/>
  <c r="H34" i="6" s="1"/>
  <c r="L31" i="15"/>
  <c r="K31" i="15"/>
  <c r="I29" i="15"/>
  <c r="N31" i="15"/>
  <c r="M31" i="15"/>
  <c r="J31" i="15"/>
  <c r="E32" i="15"/>
  <c r="F30" i="15"/>
  <c r="G30" i="15" s="1"/>
  <c r="G39" i="17" s="1"/>
  <c r="I29" i="6" s="1"/>
  <c r="J29" i="6" s="1"/>
  <c r="F42" i="4"/>
  <c r="H42" i="4" s="1"/>
  <c r="I42" i="4"/>
  <c r="D32" i="15"/>
  <c r="D43" i="4"/>
  <c r="C43" i="4" s="1"/>
  <c r="G43" i="4"/>
  <c r="J31" i="14"/>
  <c r="N31" i="14"/>
  <c r="M31" i="14"/>
  <c r="K31" i="14"/>
  <c r="L31" i="14"/>
  <c r="H29" i="14"/>
  <c r="I29" i="16" s="1"/>
  <c r="I29" i="14"/>
  <c r="C38" i="17" s="1"/>
  <c r="F30" i="14"/>
  <c r="G30" i="14" s="1"/>
  <c r="D39" i="17" s="1"/>
  <c r="E32" i="14"/>
  <c r="D32" i="14"/>
  <c r="I35" i="20" l="1"/>
  <c r="A38" i="20"/>
  <c r="D37" i="20"/>
  <c r="H37" i="20" s="1"/>
  <c r="B38" i="20"/>
  <c r="J36" i="20"/>
  <c r="C33" i="19"/>
  <c r="D33" i="19" s="1"/>
  <c r="H33" i="19" s="1"/>
  <c r="I33" i="19" s="1"/>
  <c r="F33" i="19"/>
  <c r="G33" i="19" s="1"/>
  <c r="A34" i="19"/>
  <c r="B34" i="19"/>
  <c r="E34" i="19" s="1"/>
  <c r="J32" i="19"/>
  <c r="G28" i="16"/>
  <c r="K29" i="6"/>
  <c r="L29" i="6" s="1"/>
  <c r="E29" i="16"/>
  <c r="F38" i="17"/>
  <c r="C32" i="16"/>
  <c r="B41" i="17"/>
  <c r="B41" i="4"/>
  <c r="F29" i="16"/>
  <c r="D31" i="16"/>
  <c r="E41" i="4"/>
  <c r="E41" i="17"/>
  <c r="I38" i="17"/>
  <c r="G29" i="6" s="1"/>
  <c r="H29" i="6" s="1"/>
  <c r="I39" i="17"/>
  <c r="G30" i="6" s="1"/>
  <c r="H30" i="6" s="1"/>
  <c r="J29" i="16"/>
  <c r="I44" i="17"/>
  <c r="G35" i="6" s="1"/>
  <c r="H35" i="6" s="1"/>
  <c r="H44" i="17"/>
  <c r="F35" i="6" s="1"/>
  <c r="F31" i="15"/>
  <c r="G31" i="15" s="1"/>
  <c r="G40" i="17" s="1"/>
  <c r="G44" i="4"/>
  <c r="D44" i="4"/>
  <c r="C44" i="4" s="1"/>
  <c r="H30" i="15"/>
  <c r="H30" i="16" s="1"/>
  <c r="I30" i="15"/>
  <c r="B32" i="16"/>
  <c r="N32" i="15"/>
  <c r="J32" i="15"/>
  <c r="M32" i="15"/>
  <c r="L32" i="15"/>
  <c r="K32" i="15"/>
  <c r="F43" i="4"/>
  <c r="H43" i="4" s="1"/>
  <c r="I43" i="4"/>
  <c r="K32" i="14"/>
  <c r="J32" i="14"/>
  <c r="L32" i="14"/>
  <c r="N32" i="14"/>
  <c r="M32" i="14"/>
  <c r="I30" i="14"/>
  <c r="C39" i="17" s="1"/>
  <c r="H30" i="14"/>
  <c r="I30" i="16" s="1"/>
  <c r="F31" i="14"/>
  <c r="G31" i="14" s="1"/>
  <c r="D40" i="17" s="1"/>
  <c r="B39" i="20" l="1"/>
  <c r="A39" i="20"/>
  <c r="D38" i="20"/>
  <c r="J37" i="20"/>
  <c r="I37" i="20"/>
  <c r="C34" i="19"/>
  <c r="D34" i="19" s="1"/>
  <c r="F34" i="19"/>
  <c r="G34" i="19" s="1"/>
  <c r="B35" i="19"/>
  <c r="A35" i="19"/>
  <c r="J33" i="19"/>
  <c r="G29" i="16"/>
  <c r="K30" i="6"/>
  <c r="L30" i="6" s="1"/>
  <c r="E30" i="16"/>
  <c r="F39" i="17"/>
  <c r="H39" i="17" s="1"/>
  <c r="F30" i="6" s="1"/>
  <c r="J30" i="16"/>
  <c r="I30" i="6"/>
  <c r="J30" i="6" s="1"/>
  <c r="F30" i="16"/>
  <c r="D32" i="16"/>
  <c r="H38" i="17"/>
  <c r="F29" i="6" s="1"/>
  <c r="I31" i="15"/>
  <c r="H31" i="15"/>
  <c r="H31" i="16" s="1"/>
  <c r="I40" i="17"/>
  <c r="G31" i="6" s="1"/>
  <c r="H31" i="6" s="1"/>
  <c r="H45" i="17"/>
  <c r="F36" i="6" s="1"/>
  <c r="I45" i="17"/>
  <c r="G36" i="6" s="1"/>
  <c r="H36" i="6" s="1"/>
  <c r="F44" i="4"/>
  <c r="H44" i="4" s="1"/>
  <c r="I44" i="4"/>
  <c r="F32" i="15"/>
  <c r="G32" i="15" s="1"/>
  <c r="G41" i="17" s="1"/>
  <c r="I32" i="6" s="1"/>
  <c r="J32" i="6" s="1"/>
  <c r="G45" i="4"/>
  <c r="D45" i="4"/>
  <c r="C45" i="4" s="1"/>
  <c r="I31" i="14"/>
  <c r="C40" i="17" s="1"/>
  <c r="H31" i="14"/>
  <c r="I31" i="16" s="1"/>
  <c r="F32" i="14"/>
  <c r="G32" i="14" s="1"/>
  <c r="D41" i="17" s="1"/>
  <c r="K32" i="6" s="1"/>
  <c r="L32" i="6" s="1"/>
  <c r="H38" i="20" l="1"/>
  <c r="J38" i="20" s="1"/>
  <c r="D39" i="20"/>
  <c r="H39" i="20" s="1"/>
  <c r="E35" i="19"/>
  <c r="C35" i="19"/>
  <c r="D35" i="19" s="1"/>
  <c r="H35" i="19" s="1"/>
  <c r="F35" i="19"/>
  <c r="G35" i="19" s="1"/>
  <c r="H34" i="19"/>
  <c r="B36" i="19"/>
  <c r="A36" i="19"/>
  <c r="G30" i="16"/>
  <c r="K31" i="6"/>
  <c r="L31" i="6" s="1"/>
  <c r="O3" i="6" s="1"/>
  <c r="E31" i="16"/>
  <c r="F40" i="17"/>
  <c r="H40" i="17" s="1"/>
  <c r="F31" i="6" s="1"/>
  <c r="I31" i="6"/>
  <c r="J31" i="6" s="1"/>
  <c r="O2" i="6" s="1"/>
  <c r="J31" i="16"/>
  <c r="F31" i="16"/>
  <c r="I41" i="17"/>
  <c r="G32" i="6" s="1"/>
  <c r="H32" i="6" s="1"/>
  <c r="O4" i="6" s="1"/>
  <c r="E17" i="8" s="1"/>
  <c r="I46" i="17"/>
  <c r="H46" i="17"/>
  <c r="H32" i="15"/>
  <c r="H32" i="16" s="1"/>
  <c r="I32" i="15"/>
  <c r="F45" i="4"/>
  <c r="H45" i="4" s="1"/>
  <c r="I45" i="4"/>
  <c r="D46" i="4"/>
  <c r="C46" i="4" s="1"/>
  <c r="G46" i="4"/>
  <c r="I32" i="14"/>
  <c r="C41" i="17" s="1"/>
  <c r="H32" i="14"/>
  <c r="I32" i="16" s="1"/>
  <c r="I38" i="20" l="1"/>
  <c r="J39" i="20"/>
  <c r="J25" i="8" s="1"/>
  <c r="E20" i="8" s="1"/>
  <c r="I39" i="20"/>
  <c r="J34" i="19"/>
  <c r="I34" i="19"/>
  <c r="I35" i="19"/>
  <c r="E36" i="19"/>
  <c r="C36" i="19"/>
  <c r="D36" i="19" s="1"/>
  <c r="H36" i="19" s="1"/>
  <c r="F36" i="19"/>
  <c r="G36" i="19" s="1"/>
  <c r="J35" i="19"/>
  <c r="A37" i="19"/>
  <c r="B37" i="19"/>
  <c r="E37" i="19" s="1"/>
  <c r="G31" i="16"/>
  <c r="E32" i="16"/>
  <c r="F41" i="17"/>
  <c r="H41" i="17" s="1"/>
  <c r="F32" i="6" s="1"/>
  <c r="L26" i="17"/>
  <c r="L26" i="4"/>
  <c r="F32" i="16"/>
  <c r="J32" i="16"/>
  <c r="F46" i="4"/>
  <c r="H46" i="4" s="1"/>
  <c r="I46" i="4"/>
  <c r="I36" i="19" l="1"/>
  <c r="C37" i="19"/>
  <c r="D37" i="19" s="1"/>
  <c r="H37" i="19" s="1"/>
  <c r="I37" i="19" s="1"/>
  <c r="F37" i="19"/>
  <c r="G37" i="19" s="1"/>
  <c r="J36" i="19"/>
  <c r="B38" i="19"/>
  <c r="A38" i="19"/>
  <c r="G32" i="16"/>
  <c r="E38" i="19" l="1"/>
  <c r="C38" i="19"/>
  <c r="D38" i="19" s="1"/>
  <c r="F38" i="19"/>
  <c r="G38" i="19" s="1"/>
  <c r="J37" i="19"/>
  <c r="A39" i="19"/>
  <c r="B39" i="19"/>
  <c r="E39" i="19" l="1"/>
  <c r="C39" i="19"/>
  <c r="D39" i="19" s="1"/>
  <c r="F39" i="19"/>
  <c r="G39" i="19" s="1"/>
  <c r="H38" i="19"/>
  <c r="J38" i="19" s="1"/>
  <c r="I38" i="19" l="1"/>
  <c r="H39" i="19"/>
  <c r="J39" i="19" s="1"/>
  <c r="H25" i="8" l="1"/>
  <c r="E19" i="8" s="1"/>
  <c r="I39" i="19"/>
</calcChain>
</file>

<file path=xl/sharedStrings.xml><?xml version="1.0" encoding="utf-8"?>
<sst xmlns="http://schemas.openxmlformats.org/spreadsheetml/2006/main" count="337" uniqueCount="171">
  <si>
    <t>Annual income</t>
  </si>
  <si>
    <t>Old Tax regime</t>
  </si>
  <si>
    <t>New tax Regime</t>
  </si>
  <si>
    <t>Difference</t>
  </si>
  <si>
    <t>ETR delta</t>
  </si>
  <si>
    <t>Taxes Delta</t>
  </si>
  <si>
    <t>Proportion</t>
  </si>
  <si>
    <t>Mean</t>
  </si>
  <si>
    <t>mu</t>
  </si>
  <si>
    <t>sigma</t>
  </si>
  <si>
    <t>CDF</t>
  </si>
  <si>
    <t>Population</t>
  </si>
  <si>
    <t>Net Revenue effect</t>
  </si>
  <si>
    <t>Budget effect</t>
  </si>
  <si>
    <t>Workers</t>
  </si>
  <si>
    <t>Minimum Annual Wage</t>
  </si>
  <si>
    <t>Work hours(daily)</t>
  </si>
  <si>
    <t>Work Days(monthly)</t>
  </si>
  <si>
    <t>Hours  a month</t>
  </si>
  <si>
    <t>Hourly Wage</t>
  </si>
  <si>
    <t>Monthly Wage</t>
  </si>
  <si>
    <t>Lower Bound</t>
  </si>
  <si>
    <t>Upper bound</t>
  </si>
  <si>
    <t>PDF</t>
  </si>
  <si>
    <t>Kullback–Leibler_divergence</t>
  </si>
  <si>
    <t>Prime age workers</t>
  </si>
  <si>
    <t>Household Secondary earners</t>
  </si>
  <si>
    <t>Taxable Income</t>
  </si>
  <si>
    <t>Health payment</t>
  </si>
  <si>
    <t>SS payment</t>
  </si>
  <si>
    <t>SS rate</t>
  </si>
  <si>
    <t>Healh rate</t>
  </si>
  <si>
    <t>SS cap</t>
  </si>
  <si>
    <t>Gross Income</t>
  </si>
  <si>
    <t>New_Gross_Bracket</t>
  </si>
  <si>
    <t>Ratio of incomes</t>
  </si>
  <si>
    <t>Marriage Rate</t>
  </si>
  <si>
    <t>P(2 earners|married)</t>
  </si>
  <si>
    <t>Married Sole workers</t>
  </si>
  <si>
    <t>Married joint workers</t>
  </si>
  <si>
    <t>Sole workers</t>
  </si>
  <si>
    <t>Joint workers</t>
  </si>
  <si>
    <t>Households with two earner</t>
  </si>
  <si>
    <t>CDF of households</t>
  </si>
  <si>
    <t>PDF of households</t>
  </si>
  <si>
    <t>LogNormPDF</t>
  </si>
  <si>
    <t>Household</t>
  </si>
  <si>
    <t>Individual</t>
  </si>
  <si>
    <t>PDF IND</t>
  </si>
  <si>
    <t>CDF of IND</t>
  </si>
  <si>
    <t>Primary Worker</t>
  </si>
  <si>
    <t>Secondary worker</t>
  </si>
  <si>
    <t>3rd bracket</t>
  </si>
  <si>
    <t>1st bracket</t>
  </si>
  <si>
    <t>2nd bracket</t>
  </si>
  <si>
    <t>Threshold</t>
  </si>
  <si>
    <t>4th bracket</t>
  </si>
  <si>
    <t>5th bracket</t>
  </si>
  <si>
    <t>Average</t>
  </si>
  <si>
    <t>Taxes paid</t>
  </si>
  <si>
    <t>Total taxes paid</t>
  </si>
  <si>
    <t>Revenue Collected</t>
  </si>
  <si>
    <t>First bracket</t>
  </si>
  <si>
    <t>Maximum payment</t>
  </si>
  <si>
    <t>Lower threshold</t>
  </si>
  <si>
    <t>Upper threshold</t>
  </si>
  <si>
    <t>Rate</t>
  </si>
  <si>
    <t>Second Bracket</t>
  </si>
  <si>
    <t>Third bracket</t>
  </si>
  <si>
    <t>Fourth bracket</t>
  </si>
  <si>
    <t>Fifth bracket</t>
  </si>
  <si>
    <t>Net income</t>
  </si>
  <si>
    <t>ETR</t>
  </si>
  <si>
    <t>ECB Household Data</t>
  </si>
  <si>
    <t>Tax Calculator</t>
  </si>
  <si>
    <t>Buckets</t>
  </si>
  <si>
    <t>LogNormCDF</t>
  </si>
  <si>
    <t>Mu</t>
  </si>
  <si>
    <t>Sigma</t>
  </si>
  <si>
    <t>Kullback_divergence</t>
  </si>
  <si>
    <t>Squared_Distance</t>
  </si>
  <si>
    <t>Squared Distance</t>
  </si>
  <si>
    <t>Variance</t>
  </si>
  <si>
    <t xml:space="preserve">Active Marriage </t>
  </si>
  <si>
    <t>% Paid</t>
  </si>
  <si>
    <t>Individual Income PDF</t>
  </si>
  <si>
    <t>Married Families Collection_old</t>
  </si>
  <si>
    <t>Married Families Collection_new</t>
  </si>
  <si>
    <t>Taxable_Income_bracket</t>
  </si>
  <si>
    <t>Taxable_Income_old</t>
  </si>
  <si>
    <t>Taxable_Income_new</t>
  </si>
  <si>
    <t>ETR_new</t>
  </si>
  <si>
    <t>ETR_old</t>
  </si>
  <si>
    <t>Taxable_Income_delta</t>
  </si>
  <si>
    <t>ETR_delta</t>
  </si>
  <si>
    <t>ss_rate_delta</t>
  </si>
  <si>
    <t>Net_income_old</t>
  </si>
  <si>
    <t>Net_income_new</t>
  </si>
  <si>
    <t>Net_Income_delta</t>
  </si>
  <si>
    <t>taxes_new</t>
  </si>
  <si>
    <t>new_ETR</t>
  </si>
  <si>
    <t>taxable_income_new</t>
  </si>
  <si>
    <t>gross_income</t>
  </si>
  <si>
    <t>new_gross_bracket</t>
  </si>
  <si>
    <t>percent</t>
  </si>
  <si>
    <t xml:space="preserve">taxes_paid </t>
  </si>
  <si>
    <t>gross_bracket</t>
  </si>
  <si>
    <t>taxes_old</t>
  </si>
  <si>
    <t>current_taxes</t>
  </si>
  <si>
    <t>current_effective_tax_rate</t>
  </si>
  <si>
    <t>new_effective_tax_rate</t>
  </si>
  <si>
    <t>new_taxes_paid</t>
  </si>
  <si>
    <t>old_ETR</t>
  </si>
  <si>
    <t>taxable_income_old</t>
  </si>
  <si>
    <t>taxable_bracket_old</t>
  </si>
  <si>
    <t>taxable_bracket_new</t>
  </si>
  <si>
    <t>Total_paid</t>
  </si>
  <si>
    <t>Old_paid</t>
  </si>
  <si>
    <t>Old_paid_total</t>
  </si>
  <si>
    <t>New_paid_total</t>
  </si>
  <si>
    <t>old_paid_total</t>
  </si>
  <si>
    <t>new_paid_total</t>
  </si>
  <si>
    <t>New_amount_paid</t>
  </si>
  <si>
    <t>New</t>
  </si>
  <si>
    <t>Old</t>
  </si>
  <si>
    <t>Taxable to gross</t>
  </si>
  <si>
    <t>Gross to taxable</t>
  </si>
  <si>
    <t>ss_cap_delta</t>
  </si>
  <si>
    <t>health_rate_delta</t>
  </si>
  <si>
    <t>Ratio of incomes if married</t>
  </si>
  <si>
    <t>Households with two earnerers</t>
  </si>
  <si>
    <t>Max bracket</t>
  </si>
  <si>
    <t>new_effective_rate</t>
  </si>
  <si>
    <t>current_effective_rate</t>
  </si>
  <si>
    <t>Maximum</t>
  </si>
  <si>
    <t>Taxable_bracket</t>
  </si>
  <si>
    <t>Gross_bracket</t>
  </si>
  <si>
    <t>Pension Calculator</t>
  </si>
  <si>
    <t>House Prices</t>
  </si>
  <si>
    <t>Bucket_l</t>
  </si>
  <si>
    <t>Bucket_h</t>
  </si>
  <si>
    <t>Real PDF</t>
  </si>
  <si>
    <t>Real CDF</t>
  </si>
  <si>
    <t>NUMBER OF OWNERS</t>
  </si>
  <si>
    <t>% OF OWNERS</t>
  </si>
  <si>
    <t>VALUE</t>
  </si>
  <si>
    <t>Income_params</t>
  </si>
  <si>
    <t>property_params</t>
  </si>
  <si>
    <t>Property_lower</t>
  </si>
  <si>
    <t>Property_upper</t>
  </si>
  <si>
    <t>People</t>
  </si>
  <si>
    <t>Percent</t>
  </si>
  <si>
    <t>Taxable amount</t>
  </si>
  <si>
    <t>Payable_total_flat</t>
  </si>
  <si>
    <t>Payable_total_progressive</t>
  </si>
  <si>
    <t>Flat</t>
  </si>
  <si>
    <t>Progressive</t>
  </si>
  <si>
    <t>ETR_progressive</t>
  </si>
  <si>
    <t>house wealth owners PDF(30.6.2014)</t>
  </si>
  <si>
    <t>legal entities</t>
  </si>
  <si>
    <t>legal_owners</t>
  </si>
  <si>
    <t>Entities</t>
  </si>
  <si>
    <t>Taxable_b</t>
  </si>
  <si>
    <t>Gross_b</t>
  </si>
  <si>
    <t>affected by min wage</t>
  </si>
  <si>
    <t>income budget effect</t>
  </si>
  <si>
    <t>effect of joint taxation</t>
  </si>
  <si>
    <t>property_tax_people</t>
  </si>
  <si>
    <t>property_tax_corps</t>
  </si>
  <si>
    <t>prog or flat?</t>
  </si>
  <si>
    <t>people_owners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</si>
</sst>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-* #,##0.0\ _€_-;\-* #,##0.0\ _€_-;_-* &quot;-&quot;??\ _€_-;_-@_-"/>
    <numFmt numFmtId="167" formatCode="_-* #,##0\ _€_-;\-* #,##0\ _€_-;_-* &quot;-&quot;??\ _€_-;_-@_-"/>
    <numFmt numFmtId="168" formatCode="_(* #,##0.0_);_(* \(#,##0.0\);_(* &quot;-&quot;?_);_(@_)"/>
    <numFmt numFmtId="169" formatCode="0.0"/>
    <numFmt numFmtId="170" formatCode="_(* #,##0.0_);_(* \(#,##0.0\);_(* &quot;-&quot;??_);_(@_)"/>
    <numFmt numFmtId="171" formatCode="0.0%"/>
    <numFmt numFmtId="172" formatCode="_(* #,##0.0000000_);_(* \(#,##0.0000000\);_(* &quot;-&quot;??_);_(@_)"/>
    <numFmt numFmtId="173" formatCode="_(* #,##0.00000_);_(* \(#,##0.00000\);_(* &quot;-&quot;??_);_(@_)"/>
    <numFmt numFmtId="174" formatCode="0.00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257">
    <xf numFmtId="0" fontId="0" fillId="0" borderId="0" xfId="0"/>
    <xf numFmtId="0" fontId="3" fillId="0" borderId="0" xfId="0" applyFont="1"/>
    <xf numFmtId="0" fontId="4" fillId="0" borderId="0" xfId="0" applyFont="1"/>
    <xf numFmtId="9" fontId="4" fillId="3" borderId="14" xfId="2" applyFont="1" applyFill="1" applyBorder="1"/>
    <xf numFmtId="164" fontId="4" fillId="3" borderId="15" xfId="1" applyFont="1" applyFill="1" applyBorder="1"/>
    <xf numFmtId="9" fontId="0" fillId="0" borderId="4" xfId="2" applyFont="1" applyBorder="1"/>
    <xf numFmtId="164" fontId="0" fillId="0" borderId="9" xfId="1" applyFont="1" applyBorder="1"/>
    <xf numFmtId="9" fontId="0" fillId="0" borderId="11" xfId="2" applyFont="1" applyBorder="1"/>
    <xf numFmtId="9" fontId="4" fillId="3" borderId="20" xfId="2" applyFont="1" applyFill="1" applyBorder="1"/>
    <xf numFmtId="9" fontId="0" fillId="0" borderId="13" xfId="2" applyFont="1" applyBorder="1"/>
    <xf numFmtId="164" fontId="0" fillId="0" borderId="25" xfId="1" applyFont="1" applyBorder="1"/>
    <xf numFmtId="164" fontId="0" fillId="0" borderId="0" xfId="1" applyFont="1"/>
    <xf numFmtId="9" fontId="0" fillId="0" borderId="0" xfId="2" applyFont="1"/>
    <xf numFmtId="43" fontId="0" fillId="0" borderId="0" xfId="0" applyNumberFormat="1"/>
    <xf numFmtId="164" fontId="0" fillId="0" borderId="4" xfId="1" applyFont="1" applyBorder="1"/>
    <xf numFmtId="9" fontId="0" fillId="0" borderId="5" xfId="2" applyFont="1" applyBorder="1"/>
    <xf numFmtId="9" fontId="0" fillId="0" borderId="8" xfId="2" applyFont="1" applyBorder="1"/>
    <xf numFmtId="9" fontId="0" fillId="0" borderId="10" xfId="2" applyFont="1" applyBorder="1"/>
    <xf numFmtId="9" fontId="0" fillId="0" borderId="0" xfId="0" applyNumberFormat="1"/>
    <xf numFmtId="0" fontId="0" fillId="0" borderId="19" xfId="0" applyBorder="1"/>
    <xf numFmtId="0" fontId="4" fillId="0" borderId="22" xfId="0" applyFont="1" applyBorder="1"/>
    <xf numFmtId="0" fontId="4" fillId="0" borderId="19" xfId="0" applyFont="1" applyBorder="1"/>
    <xf numFmtId="0" fontId="5" fillId="4" borderId="22" xfId="0" applyFont="1" applyFill="1" applyBorder="1"/>
    <xf numFmtId="43" fontId="0" fillId="0" borderId="4" xfId="0" applyNumberFormat="1" applyBorder="1"/>
    <xf numFmtId="9" fontId="0" fillId="0" borderId="4" xfId="0" applyNumberFormat="1" applyBorder="1"/>
    <xf numFmtId="164" fontId="4" fillId="0" borderId="4" xfId="1" applyFont="1" applyBorder="1"/>
    <xf numFmtId="9" fontId="4" fillId="0" borderId="4" xfId="2" applyFont="1" applyBorder="1"/>
    <xf numFmtId="164" fontId="4" fillId="0" borderId="13" xfId="1" applyFont="1" applyBorder="1"/>
    <xf numFmtId="9" fontId="4" fillId="0" borderId="13" xfId="2" applyFont="1" applyBorder="1"/>
    <xf numFmtId="43" fontId="0" fillId="0" borderId="13" xfId="0" applyNumberFormat="1" applyBorder="1"/>
    <xf numFmtId="0" fontId="4" fillId="0" borderId="24" xfId="0" applyFont="1" applyBorder="1"/>
    <xf numFmtId="0" fontId="4" fillId="0" borderId="23" xfId="0" applyFont="1" applyBorder="1"/>
    <xf numFmtId="164" fontId="0" fillId="0" borderId="0" xfId="1" applyFont="1" applyBorder="1"/>
    <xf numFmtId="9" fontId="0" fillId="0" borderId="0" xfId="2" applyFont="1" applyBorder="1"/>
    <xf numFmtId="9" fontId="0" fillId="0" borderId="33" xfId="0" applyNumberFormat="1" applyBorder="1"/>
    <xf numFmtId="9" fontId="0" fillId="0" borderId="29" xfId="0" applyNumberFormat="1" applyBorder="1"/>
    <xf numFmtId="43" fontId="0" fillId="0" borderId="1" xfId="0" applyNumberFormat="1" applyBorder="1"/>
    <xf numFmtId="43" fontId="0" fillId="0" borderId="26" xfId="0" applyNumberFormat="1" applyBorder="1"/>
    <xf numFmtId="43" fontId="0" fillId="0" borderId="3" xfId="0" applyNumberFormat="1" applyBorder="1"/>
    <xf numFmtId="43" fontId="0" fillId="0" borderId="28" xfId="2" applyNumberFormat="1" applyFont="1" applyBorder="1"/>
    <xf numFmtId="166" fontId="0" fillId="0" borderId="0" xfId="0" applyNumberFormat="1"/>
    <xf numFmtId="166" fontId="0" fillId="0" borderId="9" xfId="1" applyNumberFormat="1" applyFont="1" applyBorder="1"/>
    <xf numFmtId="166" fontId="0" fillId="0" borderId="12" xfId="1" applyNumberFormat="1" applyFont="1" applyBorder="1"/>
    <xf numFmtId="10" fontId="0" fillId="0" borderId="4" xfId="2" applyNumberFormat="1" applyFont="1" applyBorder="1"/>
    <xf numFmtId="165" fontId="0" fillId="0" borderId="4" xfId="0" applyNumberFormat="1" applyBorder="1"/>
    <xf numFmtId="10" fontId="0" fillId="0" borderId="13" xfId="2" applyNumberFormat="1" applyFont="1" applyBorder="1"/>
    <xf numFmtId="165" fontId="0" fillId="0" borderId="13" xfId="0" applyNumberFormat="1" applyBorder="1"/>
    <xf numFmtId="9" fontId="0" fillId="0" borderId="12" xfId="2" applyFont="1" applyBorder="1"/>
    <xf numFmtId="164" fontId="0" fillId="0" borderId="7" xfId="1" applyFont="1" applyBorder="1"/>
    <xf numFmtId="165" fontId="0" fillId="0" borderId="7" xfId="0" applyNumberFormat="1" applyBorder="1"/>
    <xf numFmtId="10" fontId="0" fillId="0" borderId="11" xfId="2" applyNumberFormat="1" applyFont="1" applyBorder="1"/>
    <xf numFmtId="168" fontId="5" fillId="4" borderId="22" xfId="0" applyNumberFormat="1" applyFont="1" applyFill="1" applyBorder="1"/>
    <xf numFmtId="165" fontId="0" fillId="0" borderId="0" xfId="0" applyNumberFormat="1"/>
    <xf numFmtId="170" fontId="0" fillId="0" borderId="0" xfId="0" applyNumberFormat="1"/>
    <xf numFmtId="0" fontId="0" fillId="0" borderId="29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165" fontId="0" fillId="0" borderId="11" xfId="0" applyNumberFormat="1" applyBorder="1"/>
    <xf numFmtId="167" fontId="4" fillId="0" borderId="37" xfId="1" applyNumberFormat="1" applyFont="1" applyBorder="1"/>
    <xf numFmtId="167" fontId="0" fillId="0" borderId="4" xfId="1" applyNumberFormat="1" applyFont="1" applyBorder="1"/>
    <xf numFmtId="167" fontId="0" fillId="0" borderId="11" xfId="1" applyNumberFormat="1" applyFont="1" applyBorder="1"/>
    <xf numFmtId="0" fontId="0" fillId="0" borderId="16" xfId="0" applyBorder="1"/>
    <xf numFmtId="167" fontId="4" fillId="0" borderId="4" xfId="1" applyNumberFormat="1" applyFont="1" applyBorder="1"/>
    <xf numFmtId="167" fontId="0" fillId="0" borderId="6" xfId="1" applyNumberFormat="1" applyFont="1" applyBorder="1"/>
    <xf numFmtId="165" fontId="0" fillId="0" borderId="6" xfId="0" applyNumberFormat="1" applyBorder="1"/>
    <xf numFmtId="171" fontId="0" fillId="0" borderId="6" xfId="2" applyNumberFormat="1" applyFont="1" applyBorder="1"/>
    <xf numFmtId="171" fontId="0" fillId="0" borderId="7" xfId="2" applyNumberFormat="1" applyFont="1" applyBorder="1"/>
    <xf numFmtId="171" fontId="0" fillId="0" borderId="9" xfId="2" applyNumberFormat="1" applyFont="1" applyBorder="1"/>
    <xf numFmtId="171" fontId="0" fillId="0" borderId="12" xfId="2" applyNumberFormat="1" applyFont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2" xfId="0" applyNumberFormat="1" applyBorder="1"/>
    <xf numFmtId="165" fontId="4" fillId="0" borderId="4" xfId="1" applyNumberFormat="1" applyFont="1" applyBorder="1"/>
    <xf numFmtId="165" fontId="4" fillId="0" borderId="9" xfId="1" applyNumberFormat="1" applyFont="1" applyBorder="1"/>
    <xf numFmtId="165" fontId="4" fillId="0" borderId="9" xfId="1" applyNumberFormat="1" applyFont="1" applyFill="1" applyBorder="1"/>
    <xf numFmtId="167" fontId="4" fillId="0" borderId="38" xfId="1" applyNumberFormat="1" applyFont="1" applyBorder="1"/>
    <xf numFmtId="0" fontId="6" fillId="0" borderId="0" xfId="3"/>
    <xf numFmtId="43" fontId="0" fillId="0" borderId="7" xfId="0" applyNumberFormat="1" applyBorder="1"/>
    <xf numFmtId="164" fontId="0" fillId="0" borderId="39" xfId="1" applyFont="1" applyBorder="1"/>
    <xf numFmtId="164" fontId="0" fillId="0" borderId="40" xfId="1" applyFont="1" applyBorder="1"/>
    <xf numFmtId="164" fontId="0" fillId="0" borderId="41" xfId="1" applyFont="1" applyBorder="1"/>
    <xf numFmtId="9" fontId="0" fillId="0" borderId="36" xfId="0" applyNumberFormat="1" applyBorder="1"/>
    <xf numFmtId="9" fontId="0" fillId="0" borderId="42" xfId="0" applyNumberFormat="1" applyBorder="1"/>
    <xf numFmtId="9" fontId="0" fillId="0" borderId="34" xfId="0" applyNumberFormat="1" applyBorder="1"/>
    <xf numFmtId="9" fontId="0" fillId="0" borderId="16" xfId="2" applyFont="1" applyBorder="1"/>
    <xf numFmtId="9" fontId="0" fillId="0" borderId="33" xfId="2" applyFont="1" applyBorder="1"/>
    <xf numFmtId="9" fontId="0" fillId="0" borderId="29" xfId="2" applyFont="1" applyBorder="1"/>
    <xf numFmtId="166" fontId="0" fillId="0" borderId="22" xfId="0" applyNumberFormat="1" applyBorder="1"/>
    <xf numFmtId="0" fontId="0" fillId="0" borderId="33" xfId="0" applyBorder="1"/>
    <xf numFmtId="2" fontId="0" fillId="0" borderId="19" xfId="0" applyNumberFormat="1" applyBorder="1"/>
    <xf numFmtId="2" fontId="0" fillId="0" borderId="28" xfId="0" applyNumberFormat="1" applyBorder="1"/>
    <xf numFmtId="2" fontId="0" fillId="4" borderId="19" xfId="0" applyNumberFormat="1" applyFill="1" applyBorder="1"/>
    <xf numFmtId="43" fontId="0" fillId="0" borderId="29" xfId="2" applyNumberFormat="1" applyFont="1" applyBorder="1"/>
    <xf numFmtId="9" fontId="0" fillId="0" borderId="2" xfId="2" applyFont="1" applyBorder="1"/>
    <xf numFmtId="9" fontId="0" fillId="0" borderId="27" xfId="2" applyFont="1" applyBorder="1"/>
    <xf numFmtId="9" fontId="0" fillId="4" borderId="19" xfId="0" applyNumberFormat="1" applyFill="1" applyBorder="1"/>
    <xf numFmtId="2" fontId="0" fillId="4" borderId="29" xfId="0" applyNumberFormat="1" applyFill="1" applyBorder="1"/>
    <xf numFmtId="172" fontId="0" fillId="0" borderId="16" xfId="0" applyNumberFormat="1" applyBorder="1"/>
    <xf numFmtId="172" fontId="0" fillId="0" borderId="33" xfId="0" applyNumberFormat="1" applyBorder="1"/>
    <xf numFmtId="172" fontId="0" fillId="0" borderId="29" xfId="0" applyNumberFormat="1" applyBorder="1"/>
    <xf numFmtId="10" fontId="0" fillId="0" borderId="37" xfId="2" applyNumberFormat="1" applyFont="1" applyBorder="1"/>
    <xf numFmtId="10" fontId="0" fillId="0" borderId="8" xfId="2" applyNumberFormat="1" applyFont="1" applyBorder="1"/>
    <xf numFmtId="10" fontId="0" fillId="0" borderId="10" xfId="2" applyNumberFormat="1" applyFont="1" applyBorder="1"/>
    <xf numFmtId="167" fontId="0" fillId="0" borderId="9" xfId="1" applyNumberFormat="1" applyFont="1" applyBorder="1"/>
    <xf numFmtId="167" fontId="0" fillId="0" borderId="12" xfId="1" applyNumberFormat="1" applyFont="1" applyBorder="1"/>
    <xf numFmtId="165" fontId="0" fillId="0" borderId="25" xfId="0" applyNumberFormat="1" applyBorder="1"/>
    <xf numFmtId="43" fontId="0" fillId="0" borderId="25" xfId="0" applyNumberFormat="1" applyBorder="1"/>
    <xf numFmtId="167" fontId="0" fillId="0" borderId="44" xfId="1" applyNumberFormat="1" applyFont="1" applyBorder="1"/>
    <xf numFmtId="0" fontId="0" fillId="0" borderId="37" xfId="0" applyBorder="1"/>
    <xf numFmtId="164" fontId="0" fillId="0" borderId="30" xfId="1" applyFont="1" applyBorder="1"/>
    <xf numFmtId="0" fontId="7" fillId="4" borderId="22" xfId="0" applyFont="1" applyFill="1" applyBorder="1"/>
    <xf numFmtId="167" fontId="7" fillId="4" borderId="22" xfId="1" applyNumberFormat="1" applyFont="1" applyFill="1" applyBorder="1"/>
    <xf numFmtId="166" fontId="7" fillId="4" borderId="19" xfId="1" applyNumberFormat="1" applyFont="1" applyFill="1" applyBorder="1"/>
    <xf numFmtId="167" fontId="7" fillId="4" borderId="19" xfId="1" applyNumberFormat="1" applyFont="1" applyFill="1" applyBorder="1"/>
    <xf numFmtId="167" fontId="0" fillId="0" borderId="0" xfId="0" applyNumberFormat="1"/>
    <xf numFmtId="167" fontId="4" fillId="0" borderId="13" xfId="1" applyNumberFormat="1" applyFont="1" applyBorder="1"/>
    <xf numFmtId="167" fontId="0" fillId="0" borderId="13" xfId="1" applyNumberFormat="1" applyFont="1" applyBorder="1"/>
    <xf numFmtId="0" fontId="0" fillId="0" borderId="4" xfId="0" applyBorder="1"/>
    <xf numFmtId="167" fontId="0" fillId="0" borderId="0" xfId="1" applyNumberFormat="1" applyFont="1"/>
    <xf numFmtId="171" fontId="0" fillId="0" borderId="13" xfId="2" applyNumberFormat="1" applyFont="1" applyBorder="1"/>
    <xf numFmtId="171" fontId="0" fillId="0" borderId="4" xfId="2" applyNumberFormat="1" applyFont="1" applyBorder="1"/>
    <xf numFmtId="166" fontId="0" fillId="0" borderId="4" xfId="1" applyNumberFormat="1" applyFont="1" applyBorder="1"/>
    <xf numFmtId="170" fontId="0" fillId="0" borderId="4" xfId="0" applyNumberFormat="1" applyBorder="1"/>
    <xf numFmtId="167" fontId="4" fillId="2" borderId="19" xfId="1" applyNumberFormat="1" applyFont="1" applyFill="1" applyBorder="1"/>
    <xf numFmtId="167" fontId="4" fillId="0" borderId="46" xfId="1" applyNumberFormat="1" applyFont="1" applyBorder="1"/>
    <xf numFmtId="167" fontId="0" fillId="0" borderId="31" xfId="1" applyNumberFormat="1" applyFont="1" applyBorder="1"/>
    <xf numFmtId="165" fontId="0" fillId="0" borderId="31" xfId="0" applyNumberFormat="1" applyBorder="1"/>
    <xf numFmtId="171" fontId="0" fillId="0" borderId="31" xfId="2" applyNumberFormat="1" applyFont="1" applyBorder="1"/>
    <xf numFmtId="171" fontId="0" fillId="0" borderId="32" xfId="2" applyNumberFormat="1" applyFont="1" applyBorder="1"/>
    <xf numFmtId="167" fontId="4" fillId="0" borderId="8" xfId="1" applyNumberFormat="1" applyFont="1" applyBorder="1"/>
    <xf numFmtId="167" fontId="4" fillId="0" borderId="10" xfId="1" applyNumberFormat="1" applyFont="1" applyBorder="1"/>
    <xf numFmtId="171" fontId="0" fillId="0" borderId="11" xfId="2" applyNumberFormat="1" applyFont="1" applyBorder="1"/>
    <xf numFmtId="171" fontId="0" fillId="0" borderId="37" xfId="2" applyNumberFormat="1" applyFont="1" applyBorder="1"/>
    <xf numFmtId="0" fontId="4" fillId="0" borderId="17" xfId="0" applyFont="1" applyBorder="1"/>
    <xf numFmtId="164" fontId="4" fillId="0" borderId="47" xfId="1" applyFont="1" applyBorder="1"/>
    <xf numFmtId="164" fontId="4" fillId="0" borderId="43" xfId="1" applyFont="1" applyBorder="1"/>
    <xf numFmtId="164" fontId="4" fillId="0" borderId="45" xfId="1" applyFont="1" applyBorder="1"/>
    <xf numFmtId="0" fontId="4" fillId="0" borderId="10" xfId="0" applyFont="1" applyBorder="1"/>
    <xf numFmtId="164" fontId="4" fillId="0" borderId="48" xfId="1" applyFont="1" applyBorder="1"/>
    <xf numFmtId="164" fontId="4" fillId="0" borderId="49" xfId="1" applyFont="1" applyBorder="1"/>
    <xf numFmtId="164" fontId="4" fillId="0" borderId="50" xfId="1" applyFont="1" applyBorder="1"/>
    <xf numFmtId="167" fontId="4" fillId="0" borderId="49" xfId="1" applyNumberFormat="1" applyFont="1" applyBorder="1"/>
    <xf numFmtId="165" fontId="0" fillId="0" borderId="4" xfId="1" applyNumberFormat="1" applyFont="1" applyBorder="1"/>
    <xf numFmtId="165" fontId="0" fillId="0" borderId="9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71" fontId="0" fillId="0" borderId="0" xfId="2" applyNumberFormat="1" applyFont="1"/>
    <xf numFmtId="0" fontId="7" fillId="4" borderId="19" xfId="0" applyFont="1" applyFill="1" applyBorder="1"/>
    <xf numFmtId="10" fontId="0" fillId="0" borderId="0" xfId="2" applyNumberFormat="1" applyFont="1"/>
    <xf numFmtId="9" fontId="0" fillId="0" borderId="6" xfId="2" applyFont="1" applyBorder="1"/>
    <xf numFmtId="9" fontId="0" fillId="0" borderId="26" xfId="2" applyFont="1" applyBorder="1"/>
    <xf numFmtId="9" fontId="0" fillId="0" borderId="3" xfId="2" applyFont="1" applyBorder="1"/>
    <xf numFmtId="9" fontId="0" fillId="0" borderId="21" xfId="2" applyFont="1" applyBorder="1"/>
    <xf numFmtId="2" fontId="5" fillId="4" borderId="19" xfId="0" applyNumberFormat="1" applyFont="1" applyFill="1" applyBorder="1"/>
    <xf numFmtId="165" fontId="5" fillId="0" borderId="19" xfId="0" applyNumberFormat="1" applyFont="1" applyBorder="1"/>
    <xf numFmtId="167" fontId="8" fillId="4" borderId="19" xfId="1" applyNumberFormat="1" applyFont="1" applyFill="1" applyBorder="1"/>
    <xf numFmtId="0" fontId="8" fillId="4" borderId="19" xfId="0" applyFont="1" applyFill="1" applyBorder="1"/>
    <xf numFmtId="0" fontId="8" fillId="4" borderId="22" xfId="0" applyFont="1" applyFill="1" applyBorder="1"/>
    <xf numFmtId="0" fontId="8" fillId="4" borderId="22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5" fillId="4" borderId="19" xfId="0" applyFont="1" applyFill="1" applyBorder="1"/>
    <xf numFmtId="165" fontId="5" fillId="0" borderId="16" xfId="2" applyNumberFormat="1" applyFont="1" applyBorder="1"/>
    <xf numFmtId="166" fontId="0" fillId="0" borderId="25" xfId="1" applyNumberFormat="1" applyFont="1" applyBorder="1"/>
    <xf numFmtId="0" fontId="9" fillId="4" borderId="19" xfId="3" applyFont="1" applyFill="1" applyBorder="1"/>
    <xf numFmtId="167" fontId="8" fillId="4" borderId="19" xfId="1" applyNumberFormat="1" applyFont="1" applyFill="1" applyBorder="1" applyAlignment="1">
      <alignment horizontal="right"/>
    </xf>
    <xf numFmtId="165" fontId="8" fillId="0" borderId="19" xfId="0" applyNumberFormat="1" applyFont="1" applyBorder="1" applyAlignment="1">
      <alignment horizontal="right"/>
    </xf>
    <xf numFmtId="165" fontId="8" fillId="0" borderId="29" xfId="0" applyNumberFormat="1" applyFont="1" applyBorder="1" applyAlignment="1">
      <alignment horizontal="right"/>
    </xf>
    <xf numFmtId="167" fontId="4" fillId="0" borderId="5" xfId="1" applyNumberFormat="1" applyFont="1" applyBorder="1"/>
    <xf numFmtId="166" fontId="5" fillId="4" borderId="19" xfId="1" applyNumberFormat="1" applyFont="1" applyFill="1" applyBorder="1"/>
    <xf numFmtId="9" fontId="5" fillId="4" borderId="19" xfId="2" applyFont="1" applyFill="1" applyBorder="1"/>
    <xf numFmtId="164" fontId="0" fillId="0" borderId="4" xfId="0" applyNumberFormat="1" applyBorder="1"/>
    <xf numFmtId="166" fontId="0" fillId="0" borderId="4" xfId="0" applyNumberFormat="1" applyBorder="1"/>
    <xf numFmtId="168" fontId="0" fillId="0" borderId="4" xfId="0" applyNumberFormat="1" applyBorder="1"/>
    <xf numFmtId="169" fontId="0" fillId="0" borderId="4" xfId="0" applyNumberFormat="1" applyBorder="1"/>
    <xf numFmtId="164" fontId="0" fillId="0" borderId="13" xfId="1" applyFont="1" applyBorder="1"/>
    <xf numFmtId="164" fontId="0" fillId="0" borderId="13" xfId="0" applyNumberFormat="1" applyBorder="1"/>
    <xf numFmtId="0" fontId="0" fillId="0" borderId="13" xfId="0" applyBorder="1"/>
    <xf numFmtId="170" fontId="0" fillId="0" borderId="13" xfId="0" applyNumberFormat="1" applyBorder="1"/>
    <xf numFmtId="167" fontId="5" fillId="4" borderId="19" xfId="1" applyNumberFormat="1" applyFont="1" applyFill="1" applyBorder="1"/>
    <xf numFmtId="167" fontId="5" fillId="5" borderId="19" xfId="1" applyNumberFormat="1" applyFont="1" applyFill="1" applyBorder="1"/>
    <xf numFmtId="167" fontId="5" fillId="0" borderId="28" xfId="0" applyNumberFormat="1" applyFont="1" applyBorder="1"/>
    <xf numFmtId="0" fontId="10" fillId="0" borderId="0" xfId="3" applyFont="1"/>
    <xf numFmtId="166" fontId="3" fillId="0" borderId="0" xfId="0" applyNumberFormat="1" applyFont="1"/>
    <xf numFmtId="167" fontId="8" fillId="4" borderId="22" xfId="1" applyNumberFormat="1" applyFont="1" applyFill="1" applyBorder="1"/>
    <xf numFmtId="171" fontId="8" fillId="4" borderId="22" xfId="2" applyNumberFormat="1" applyFont="1" applyFill="1" applyBorder="1"/>
    <xf numFmtId="9" fontId="8" fillId="4" borderId="19" xfId="2" applyFont="1" applyFill="1" applyBorder="1"/>
    <xf numFmtId="9" fontId="3" fillId="0" borderId="0" xfId="2" applyFont="1"/>
    <xf numFmtId="167" fontId="5" fillId="0" borderId="19" xfId="0" applyNumberFormat="1" applyFont="1" applyBorder="1"/>
    <xf numFmtId="0" fontId="5" fillId="0" borderId="0" xfId="0" applyFont="1"/>
    <xf numFmtId="165" fontId="5" fillId="5" borderId="19" xfId="0" applyNumberFormat="1" applyFont="1" applyFill="1" applyBorder="1"/>
    <xf numFmtId="0" fontId="0" fillId="0" borderId="35" xfId="0" applyBorder="1"/>
    <xf numFmtId="0" fontId="0" fillId="0" borderId="17" xfId="0" applyBorder="1"/>
    <xf numFmtId="0" fontId="0" fillId="0" borderId="18" xfId="0" applyBorder="1"/>
    <xf numFmtId="171" fontId="0" fillId="0" borderId="13" xfId="0" applyNumberFormat="1" applyBorder="1"/>
    <xf numFmtId="173" fontId="0" fillId="0" borderId="25" xfId="0" applyNumberFormat="1" applyBorder="1"/>
    <xf numFmtId="171" fontId="0" fillId="0" borderId="4" xfId="0" applyNumberFormat="1" applyBorder="1"/>
    <xf numFmtId="171" fontId="0" fillId="0" borderId="51" xfId="2" applyNumberFormat="1" applyFont="1" applyBorder="1"/>
    <xf numFmtId="0" fontId="0" fillId="0" borderId="11" xfId="0" applyBorder="1"/>
    <xf numFmtId="0" fontId="0" fillId="0" borderId="52" xfId="0" applyBorder="1"/>
    <xf numFmtId="0" fontId="5" fillId="0" borderId="19" xfId="0" applyFont="1" applyBorder="1"/>
    <xf numFmtId="2" fontId="5" fillId="0" borderId="24" xfId="0" applyNumberFormat="1" applyFont="1" applyBorder="1"/>
    <xf numFmtId="0" fontId="5" fillId="0" borderId="29" xfId="0" applyFont="1" applyBorder="1"/>
    <xf numFmtId="2" fontId="5" fillId="0" borderId="29" xfId="0" applyNumberFormat="1" applyFont="1" applyBorder="1"/>
    <xf numFmtId="0" fontId="0" fillId="0" borderId="28" xfId="0" applyBorder="1"/>
    <xf numFmtId="2" fontId="5" fillId="4" borderId="16" xfId="0" applyNumberFormat="1" applyFont="1" applyFill="1" applyBorder="1"/>
    <xf numFmtId="3" fontId="1" fillId="0" borderId="5" xfId="4" applyNumberFormat="1" applyBorder="1" applyAlignment="1">
      <alignment wrapText="1"/>
    </xf>
    <xf numFmtId="3" fontId="1" fillId="0" borderId="6" xfId="4" applyNumberFormat="1" applyBorder="1" applyAlignment="1">
      <alignment wrapText="1"/>
    </xf>
    <xf numFmtId="10" fontId="1" fillId="0" borderId="6" xfId="2" applyNumberFormat="1" applyFont="1" applyBorder="1" applyAlignment="1">
      <alignment wrapText="1"/>
    </xf>
    <xf numFmtId="10" fontId="0" fillId="0" borderId="6" xfId="0" applyNumberFormat="1" applyBorder="1"/>
    <xf numFmtId="0" fontId="0" fillId="0" borderId="7" xfId="0" applyBorder="1"/>
    <xf numFmtId="3" fontId="1" fillId="0" borderId="8" xfId="4" applyNumberFormat="1" applyBorder="1" applyAlignment="1">
      <alignment wrapText="1"/>
    </xf>
    <xf numFmtId="3" fontId="1" fillId="0" borderId="4" xfId="4" applyNumberFormat="1" applyBorder="1" applyAlignment="1">
      <alignment wrapText="1"/>
    </xf>
    <xf numFmtId="10" fontId="1" fillId="0" borderId="4" xfId="2" applyNumberFormat="1" applyFont="1" applyBorder="1" applyAlignment="1">
      <alignment wrapText="1"/>
    </xf>
    <xf numFmtId="10" fontId="0" fillId="0" borderId="4" xfId="0" applyNumberFormat="1" applyBorder="1"/>
    <xf numFmtId="0" fontId="0" fillId="0" borderId="9" xfId="0" applyBorder="1"/>
    <xf numFmtId="3" fontId="1" fillId="0" borderId="4" xfId="4" applyNumberFormat="1" applyBorder="1"/>
    <xf numFmtId="10" fontId="1" fillId="0" borderId="4" xfId="2" applyNumberFormat="1" applyFont="1" applyBorder="1"/>
    <xf numFmtId="0" fontId="0" fillId="0" borderId="53" xfId="0" applyBorder="1"/>
    <xf numFmtId="3" fontId="1" fillId="0" borderId="38" xfId="4" applyNumberFormat="1" applyBorder="1" applyAlignment="1">
      <alignment wrapText="1"/>
    </xf>
    <xf numFmtId="0" fontId="5" fillId="0" borderId="14" xfId="4" applyFont="1" applyBorder="1" applyAlignment="1">
      <alignment horizontal="right"/>
    </xf>
    <xf numFmtId="3" fontId="1" fillId="0" borderId="14" xfId="4" applyNumberFormat="1" applyBorder="1"/>
    <xf numFmtId="10" fontId="1" fillId="0" borderId="14" xfId="2" applyNumberFormat="1" applyFont="1" applyBorder="1"/>
    <xf numFmtId="10" fontId="0" fillId="0" borderId="14" xfId="0" applyNumberFormat="1" applyBorder="1"/>
    <xf numFmtId="174" fontId="5" fillId="0" borderId="19" xfId="0" applyNumberFormat="1" applyFont="1" applyBorder="1"/>
    <xf numFmtId="167" fontId="5" fillId="0" borderId="19" xfId="1" applyNumberFormat="1" applyFont="1" applyBorder="1"/>
    <xf numFmtId="0" fontId="8" fillId="4" borderId="0" xfId="0" applyFont="1" applyFill="1"/>
    <xf numFmtId="0" fontId="5" fillId="4" borderId="1" xfId="0" applyFont="1" applyFill="1" applyBorder="1"/>
    <xf numFmtId="0" fontId="5" fillId="4" borderId="16" xfId="0" applyFont="1" applyFill="1" applyBorder="1"/>
    <xf numFmtId="0" fontId="4" fillId="0" borderId="0" xfId="0" applyFont="1" applyAlignment="1">
      <alignment horizontal="center"/>
    </xf>
    <xf numFmtId="171" fontId="1" fillId="0" borderId="4" xfId="2" applyNumberFormat="1" applyFont="1" applyBorder="1" applyAlignment="1">
      <alignment wrapText="1"/>
    </xf>
    <xf numFmtId="169" fontId="4" fillId="0" borderId="0" xfId="0" applyNumberFormat="1" applyFont="1" applyAlignment="1">
      <alignment horizontal="center"/>
    </xf>
    <xf numFmtId="167" fontId="11" fillId="0" borderId="4" xfId="1" applyNumberFormat="1" applyFont="1" applyBorder="1"/>
    <xf numFmtId="171" fontId="11" fillId="0" borderId="4" xfId="2" applyNumberFormat="1" applyFont="1" applyBorder="1"/>
    <xf numFmtId="171" fontId="11" fillId="0" borderId="4" xfId="2" applyNumberFormat="1" applyFont="1" applyBorder="1" applyAlignment="1">
      <alignment horizontal="right"/>
    </xf>
    <xf numFmtId="0" fontId="11" fillId="0" borderId="4" xfId="0" applyFont="1" applyBorder="1"/>
    <xf numFmtId="167" fontId="8" fillId="2" borderId="22" xfId="1" applyNumberFormat="1" applyFont="1" applyFill="1" applyBorder="1" applyProtection="1">
      <protection locked="0"/>
    </xf>
    <xf numFmtId="171" fontId="8" fillId="2" borderId="22" xfId="2" applyNumberFormat="1" applyFont="1" applyFill="1" applyBorder="1" applyProtection="1">
      <protection locked="0"/>
    </xf>
    <xf numFmtId="9" fontId="8" fillId="2" borderId="19" xfId="2" applyFont="1" applyFill="1" applyBorder="1" applyProtection="1">
      <protection locked="0"/>
    </xf>
    <xf numFmtId="167" fontId="8" fillId="2" borderId="22" xfId="0" applyNumberFormat="1" applyFont="1" applyFill="1" applyBorder="1" applyProtection="1">
      <protection locked="0"/>
    </xf>
    <xf numFmtId="164" fontId="8" fillId="2" borderId="19" xfId="1" applyFont="1" applyFill="1" applyBorder="1" applyProtection="1">
      <protection locked="0"/>
    </xf>
    <xf numFmtId="167" fontId="8" fillId="2" borderId="19" xfId="1" applyNumberFormat="1" applyFont="1" applyFill="1" applyBorder="1" applyAlignment="1" applyProtection="1">
      <alignment horizontal="right"/>
      <protection locked="0"/>
    </xf>
    <xf numFmtId="171" fontId="8" fillId="2" borderId="19" xfId="2" applyNumberFormat="1" applyFont="1" applyFill="1" applyBorder="1" applyAlignment="1" applyProtection="1">
      <alignment horizontal="right"/>
      <protection locked="0"/>
    </xf>
    <xf numFmtId="166" fontId="8" fillId="2" borderId="19" xfId="1" applyNumberFormat="1" applyFont="1" applyFill="1" applyBorder="1" applyAlignment="1" applyProtection="1">
      <alignment horizontal="right"/>
      <protection locked="0"/>
    </xf>
    <xf numFmtId="167" fontId="8" fillId="2" borderId="19" xfId="1" applyNumberFormat="1" applyFont="1" applyFill="1" applyBorder="1" applyProtection="1">
      <protection locked="0"/>
    </xf>
    <xf numFmtId="0" fontId="5" fillId="4" borderId="1" xfId="0" applyFont="1" applyFill="1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2" fontId="5" fillId="4" borderId="22" xfId="0" applyNumberFormat="1" applyFont="1" applyFill="1" applyBorder="1" applyAlignment="1">
      <alignment horizontal="center"/>
    </xf>
    <xf numFmtId="2" fontId="5" fillId="4" borderId="24" xfId="0" applyNumberFormat="1" applyFont="1" applyFill="1" applyBorder="1" applyAlignment="1">
      <alignment horizontal="center"/>
    </xf>
    <xf numFmtId="2" fontId="5" fillId="4" borderId="23" xfId="0" applyNumberFormat="1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10" fontId="8" fillId="2" borderId="19" xfId="2" applyNumberFormat="1" applyFont="1" applyFill="1" applyBorder="1" applyProtection="1">
      <protection locked="0"/>
    </xf>
  </cellXfs>
  <cellStyles count="5">
    <cellStyle name="Comma" xfId="1" builtinId="3"/>
    <cellStyle name="Hyperlink" xfId="3" builtinId="8"/>
    <cellStyle name="Normal" xfId="0" builtinId="0"/>
    <cellStyle name="Normal 2" xfId="4" xr:uid="{F27884FD-E621-4173-B952-29D35DF0258A}"/>
    <cellStyle name="Percent" xfId="2" builtinId="5"/>
  </cellStyles>
  <dxfs count="26"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</a:t>
            </a:r>
            <a:r>
              <a:rPr lang="en-US" baseline="0"/>
              <a:t> tax rate of old vs 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brackets_gross!$C$10</c:f>
              <c:strCache>
                <c:ptCount val="1"/>
                <c:pt idx="0">
                  <c:v>new_ETR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brackets_gross!$A$13:$A$33</c:f>
              <c:numCache>
                <c:formatCode>_-* #,##0.00\ _€_-;\-* #,##0.00\ _€_-;_-* "-"??\ _€_-;_-@_-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brackets_gross!$C$13:$C$33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3.6805165637282457E-2</c:v>
                </c:pt>
                <c:pt idx="7">
                  <c:v>6.6049036122028851E-2</c:v>
                </c:pt>
                <c:pt idx="8">
                  <c:v>9.2055025266704144E-2</c:v>
                </c:pt>
                <c:pt idx="9">
                  <c:v>0.1245954775151856</c:v>
                </c:pt>
                <c:pt idx="10">
                  <c:v>0.1517125210555868</c:v>
                </c:pt>
                <c:pt idx="11">
                  <c:v>0.17465771174361858</c:v>
                </c:pt>
                <c:pt idx="12">
                  <c:v>0.19432501804764582</c:v>
                </c:pt>
                <c:pt idx="13">
                  <c:v>0.21137001684446943</c:v>
                </c:pt>
                <c:pt idx="14">
                  <c:v>0.2262843907916901</c:v>
                </c:pt>
                <c:pt idx="15">
                  <c:v>0.23944413250982596</c:v>
                </c:pt>
                <c:pt idx="16">
                  <c:v>0.25114168070372456</c:v>
                </c:pt>
                <c:pt idx="17">
                  <c:v>0.26160790803510747</c:v>
                </c:pt>
                <c:pt idx="18">
                  <c:v>0.27102751263335206</c:v>
                </c:pt>
                <c:pt idx="19">
                  <c:v>0.27955001203176388</c:v>
                </c:pt>
                <c:pt idx="20">
                  <c:v>0.28729773875759279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9-4A1C-A61B-CA65622DD6B8}"/>
            </c:ext>
          </c:extLst>
        </c:ser>
        <c:ser>
          <c:idx val="1"/>
          <c:order val="1"/>
          <c:tx>
            <c:strRef>
              <c:f>brackets_gross!$F$10</c:f>
              <c:strCache>
                <c:ptCount val="1"/>
                <c:pt idx="0">
                  <c:v>old_ETR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brackets_gross!$A$13:$A$33</c:f>
              <c:numCache>
                <c:formatCode>_-* #,##0.00\ _€_-;\-* #,##0.00\ _€_-;_-* "-"??\ _€_-;_-@_-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brackets_gross!$F$13:$F$33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1.7518248175182483E-2</c:v>
                </c:pt>
                <c:pt idx="5">
                  <c:v>4.3587069864442128E-2</c:v>
                </c:pt>
                <c:pt idx="6">
                  <c:v>6.4008949501684453E-2</c:v>
                </c:pt>
                <c:pt idx="7">
                  <c:v>8.4674621779275067E-2</c:v>
                </c:pt>
                <c:pt idx="8">
                  <c:v>0.10120715960134756</c:v>
                </c:pt>
                <c:pt idx="9">
                  <c:v>0.11841145487721468</c:v>
                </c:pt>
                <c:pt idx="10">
                  <c:v>0.13354383363744679</c:v>
                </c:pt>
                <c:pt idx="11">
                  <c:v>0.14634815412687396</c:v>
                </c:pt>
                <c:pt idx="12">
                  <c:v>0.15732328597495435</c:v>
                </c:pt>
                <c:pt idx="13">
                  <c:v>0.16683506690995739</c:v>
                </c:pt>
                <c:pt idx="14">
                  <c:v>0.17515787522808507</c:v>
                </c:pt>
                <c:pt idx="15">
                  <c:v>0.18377278683962073</c:v>
                </c:pt>
                <c:pt idx="16">
                  <c:v>0.19300763201519736</c:v>
                </c:pt>
                <c:pt idx="17">
                  <c:v>0.20127038822492382</c:v>
                </c:pt>
                <c:pt idx="18">
                  <c:v>0.20870686881367762</c:v>
                </c:pt>
                <c:pt idx="19">
                  <c:v>0.21543511315588343</c:v>
                </c:pt>
                <c:pt idx="20">
                  <c:v>0.2215516989215251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9-4A1C-A61B-CA65622D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64648"/>
        <c:axId val="541561040"/>
      </c:scatterChart>
      <c:valAx>
        <c:axId val="54156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1040"/>
        <c:crosses val="autoZero"/>
        <c:crossBetween val="midCat"/>
      </c:valAx>
      <c:valAx>
        <c:axId val="541561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</a:t>
            </a:r>
            <a:r>
              <a:rPr lang="en-US" baseline="0"/>
              <a:t> rate of old vs new_with_charges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brackets_taxable!$C$10</c:f>
              <c:strCache>
                <c:ptCount val="1"/>
                <c:pt idx="0">
                  <c:v>new_ETR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brackets_taxable!$A$13:$A$33</c:f>
              <c:numCache>
                <c:formatCode>_-* #,##0.00\ _€_-;\-* #,##0.00\ _€_-;_-* "-"??\ _€_-;_-@_-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brackets_taxable!$C$13:$C$33</c:f>
              <c:numCache>
                <c:formatCode>0%</c:formatCode>
                <c:ptCount val="21"/>
                <c:pt idx="0">
                  <c:v>0.1095</c:v>
                </c:pt>
                <c:pt idx="1">
                  <c:v>0.1095</c:v>
                </c:pt>
                <c:pt idx="2">
                  <c:v>0.1095</c:v>
                </c:pt>
                <c:pt idx="3">
                  <c:v>0.1095</c:v>
                </c:pt>
                <c:pt idx="4">
                  <c:v>0.1095</c:v>
                </c:pt>
                <c:pt idx="5">
                  <c:v>0.1095</c:v>
                </c:pt>
                <c:pt idx="6">
                  <c:v>0.14227500000000001</c:v>
                </c:pt>
                <c:pt idx="7">
                  <c:v>0.16831666666666667</c:v>
                </c:pt>
                <c:pt idx="8">
                  <c:v>0.19147500000000001</c:v>
                </c:pt>
                <c:pt idx="9">
                  <c:v>0.22045227272727272</c:v>
                </c:pt>
                <c:pt idx="10">
                  <c:v>0.24459999999999998</c:v>
                </c:pt>
                <c:pt idx="11">
                  <c:v>0.26503269230769233</c:v>
                </c:pt>
                <c:pt idx="12">
                  <c:v>0.28123890178571426</c:v>
                </c:pt>
                <c:pt idx="13">
                  <c:v>0.29346130833333328</c:v>
                </c:pt>
                <c:pt idx="14">
                  <c:v>0.30415591406249998</c:v>
                </c:pt>
                <c:pt idx="15">
                  <c:v>0.31359233088235294</c:v>
                </c:pt>
                <c:pt idx="16">
                  <c:v>0.32198025694444443</c:v>
                </c:pt>
                <c:pt idx="17">
                  <c:v>0.32948524342105268</c:v>
                </c:pt>
                <c:pt idx="18">
                  <c:v>0.33623973125000001</c:v>
                </c:pt>
                <c:pt idx="19">
                  <c:v>0.34235093452380955</c:v>
                </c:pt>
                <c:pt idx="20">
                  <c:v>0.34790657386363638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C-4451-8C73-75730BCAA301}"/>
            </c:ext>
          </c:extLst>
        </c:ser>
        <c:ser>
          <c:idx val="1"/>
          <c:order val="1"/>
          <c:tx>
            <c:strRef>
              <c:f>brackets_taxable!$F$10</c:f>
              <c:strCache>
                <c:ptCount val="1"/>
                <c:pt idx="0">
                  <c:v>old_ETR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brackets_taxable!$A$13:$A$33</c:f>
              <c:numCache>
                <c:formatCode>_-* #,##0.00\ _€_-;\-* #,##0.00\ _€_-;_-* "-"??\ _€_-;_-@_-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brackets_taxable!$F$13:$F$33</c:f>
              <c:numCache>
                <c:formatCode>0%</c:formatCode>
                <c:ptCount val="21"/>
                <c:pt idx="0">
                  <c:v>0.1095</c:v>
                </c:pt>
                <c:pt idx="1">
                  <c:v>0.1095</c:v>
                </c:pt>
                <c:pt idx="2">
                  <c:v>0.1095</c:v>
                </c:pt>
                <c:pt idx="3">
                  <c:v>0.1095</c:v>
                </c:pt>
                <c:pt idx="4">
                  <c:v>0.12510000000000002</c:v>
                </c:pt>
                <c:pt idx="5">
                  <c:v>0.14831428571428573</c:v>
                </c:pt>
                <c:pt idx="6">
                  <c:v>0.16650000000000001</c:v>
                </c:pt>
                <c:pt idx="7">
                  <c:v>0.18490277777777778</c:v>
                </c:pt>
                <c:pt idx="8">
                  <c:v>0.199625</c:v>
                </c:pt>
                <c:pt idx="9">
                  <c:v>0.21494545454545455</c:v>
                </c:pt>
                <c:pt idx="10">
                  <c:v>0.22842083333333335</c:v>
                </c:pt>
                <c:pt idx="11">
                  <c:v>0.23982307692307692</c:v>
                </c:pt>
                <c:pt idx="12">
                  <c:v>0.24793230357142856</c:v>
                </c:pt>
                <c:pt idx="13">
                  <c:v>0.25264015000000001</c:v>
                </c:pt>
                <c:pt idx="14">
                  <c:v>0.25675951562499993</c:v>
                </c:pt>
                <c:pt idx="15">
                  <c:v>0.26163184558823527</c:v>
                </c:pt>
                <c:pt idx="16">
                  <c:v>0.26749813194444444</c:v>
                </c:pt>
                <c:pt idx="17">
                  <c:v>0.27274691447368421</c:v>
                </c:pt>
                <c:pt idx="18">
                  <c:v>0.27747081875000001</c:v>
                </c:pt>
                <c:pt idx="19">
                  <c:v>0.28174482738095241</c:v>
                </c:pt>
                <c:pt idx="20">
                  <c:v>0.28563028977272731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C-4451-8C73-75730BCA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64648"/>
        <c:axId val="541561040"/>
      </c:scatterChart>
      <c:valAx>
        <c:axId val="54156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1040"/>
        <c:crosses val="autoZero"/>
        <c:crossBetween val="midCat"/>
      </c:valAx>
      <c:valAx>
        <c:axId val="541561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26778055182124E-2"/>
          <c:y val="4.0608815528917985E-2"/>
          <c:w val="0.87379884544561059"/>
          <c:h val="0.94587944831128967"/>
        </c:manualLayout>
      </c:layout>
      <c:scatterChart>
        <c:scatterStyle val="smoothMarker"/>
        <c:varyColors val="0"/>
        <c:ser>
          <c:idx val="0"/>
          <c:order val="0"/>
          <c:tx>
            <c:v>Income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minimum_wage!$A$2:$A$24</c:f>
              <c:numCache>
                <c:formatCode>_-* #,##0.00\ _€_-;\-* #,##0.00\ _€_-;_-* "-"??\ _€_-;_-@_-</c:formatCode>
                <c:ptCount val="23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  <c:pt idx="13">
                  <c:v>52000</c:v>
                </c:pt>
                <c:pt idx="14">
                  <c:v>56000</c:v>
                </c:pt>
                <c:pt idx="15">
                  <c:v>60000</c:v>
                </c:pt>
                <c:pt idx="16">
                  <c:v>64000</c:v>
                </c:pt>
                <c:pt idx="17">
                  <c:v>68000</c:v>
                </c:pt>
                <c:pt idx="18">
                  <c:v>72000</c:v>
                </c:pt>
                <c:pt idx="19">
                  <c:v>76000</c:v>
                </c:pt>
                <c:pt idx="20">
                  <c:v>80000</c:v>
                </c:pt>
                <c:pt idx="21">
                  <c:v>84000</c:v>
                </c:pt>
                <c:pt idx="22">
                  <c:v>88000</c:v>
                </c:pt>
              </c:numCache>
            </c:numRef>
          </c:xVal>
          <c:yVal>
            <c:numRef>
              <c:f>minimum_wage!$C$2:$C$24</c:f>
              <c:numCache>
                <c:formatCode>0%</c:formatCode>
                <c:ptCount val="23"/>
                <c:pt idx="0">
                  <c:v>0</c:v>
                </c:pt>
                <c:pt idx="1">
                  <c:v>5.7289291893859819E-2</c:v>
                </c:pt>
                <c:pt idx="2">
                  <c:v>0.10997110748900157</c:v>
                </c:pt>
                <c:pt idx="3">
                  <c:v>0.13072914595642257</c:v>
                </c:pt>
                <c:pt idx="4">
                  <c:v>0.12553269002798656</c:v>
                </c:pt>
                <c:pt idx="5">
                  <c:v>0.10943430441175273</c:v>
                </c:pt>
                <c:pt idx="6">
                  <c:v>9.0934444974505535E-2</c:v>
                </c:pt>
                <c:pt idx="7">
                  <c:v>7.3726477977265503E-2</c:v>
                </c:pt>
                <c:pt idx="8">
                  <c:v>5.9042717830424807E-2</c:v>
                </c:pt>
                <c:pt idx="9">
                  <c:v>4.7025794905943386E-2</c:v>
                </c:pt>
                <c:pt idx="10">
                  <c:v>3.7399888030714257E-2</c:v>
                </c:pt>
                <c:pt idx="11">
                  <c:v>2.977205163722807E-2</c:v>
                </c:pt>
                <c:pt idx="12">
                  <c:v>2.3756434618076416E-2</c:v>
                </c:pt>
                <c:pt idx="13">
                  <c:v>1.9018117189637085E-2</c:v>
                </c:pt>
                <c:pt idx="14">
                  <c:v>1.5282369269299156E-2</c:v>
                </c:pt>
                <c:pt idx="15">
                  <c:v>1.23303066042596E-2</c:v>
                </c:pt>
                <c:pt idx="16">
                  <c:v>9.9902268653463411E-3</c:v>
                </c:pt>
                <c:pt idx="17">
                  <c:v>8.1285119502205738E-3</c:v>
                </c:pt>
                <c:pt idx="18">
                  <c:v>6.6415466510930665E-3</c:v>
                </c:pt>
                <c:pt idx="19">
                  <c:v>5.4490423135213906E-3</c:v>
                </c:pt>
                <c:pt idx="20">
                  <c:v>4.4887224473574294E-3</c:v>
                </c:pt>
                <c:pt idx="21">
                  <c:v>3.7121777025214131E-3</c:v>
                </c:pt>
                <c:pt idx="22">
                  <c:v>3.0816690115968992E-3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4-4A36-935A-EAE424294974}"/>
            </c:ext>
          </c:extLst>
        </c:ser>
        <c:ser>
          <c:idx val="1"/>
          <c:order val="1"/>
          <c:tx>
            <c:v>Distribution after MW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minimum_wage!$A$2:$A$24</c:f>
              <c:numCache>
                <c:formatCode>_-* #,##0.00\ _€_-;\-* #,##0.00\ _€_-;_-* "-"??\ _€_-;_-@_-</c:formatCode>
                <c:ptCount val="23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  <c:pt idx="13">
                  <c:v>52000</c:v>
                </c:pt>
                <c:pt idx="14">
                  <c:v>56000</c:v>
                </c:pt>
                <c:pt idx="15">
                  <c:v>60000</c:v>
                </c:pt>
                <c:pt idx="16">
                  <c:v>64000</c:v>
                </c:pt>
                <c:pt idx="17">
                  <c:v>68000</c:v>
                </c:pt>
                <c:pt idx="18">
                  <c:v>72000</c:v>
                </c:pt>
                <c:pt idx="19">
                  <c:v>76000</c:v>
                </c:pt>
                <c:pt idx="20">
                  <c:v>80000</c:v>
                </c:pt>
                <c:pt idx="21">
                  <c:v>84000</c:v>
                </c:pt>
                <c:pt idx="22">
                  <c:v>88000</c:v>
                </c:pt>
              </c:numCache>
            </c:numRef>
          </c:xVal>
          <c:yVal>
            <c:numRef>
              <c:f>minimum_wage!$I$2:$I$24</c:f>
              <c:numCache>
                <c:formatCode>0%</c:formatCode>
                <c:ptCount val="23"/>
                <c:pt idx="0">
                  <c:v>0</c:v>
                </c:pt>
                <c:pt idx="1">
                  <c:v>5.7289291893859819E-2</c:v>
                </c:pt>
                <c:pt idx="2">
                  <c:v>0.10997110748900157</c:v>
                </c:pt>
                <c:pt idx="3">
                  <c:v>0.13072914595642257</c:v>
                </c:pt>
                <c:pt idx="4">
                  <c:v>0.12553269002798656</c:v>
                </c:pt>
                <c:pt idx="5">
                  <c:v>0.10943430441175273</c:v>
                </c:pt>
                <c:pt idx="6">
                  <c:v>9.0934444974505535E-2</c:v>
                </c:pt>
                <c:pt idx="7">
                  <c:v>7.3726477977265503E-2</c:v>
                </c:pt>
                <c:pt idx="8">
                  <c:v>5.9042717830424807E-2</c:v>
                </c:pt>
                <c:pt idx="9">
                  <c:v>4.7025794905943386E-2</c:v>
                </c:pt>
                <c:pt idx="10">
                  <c:v>3.7399888030714257E-2</c:v>
                </c:pt>
                <c:pt idx="11">
                  <c:v>2.977205163722807E-2</c:v>
                </c:pt>
                <c:pt idx="12">
                  <c:v>2.3756434618076416E-2</c:v>
                </c:pt>
                <c:pt idx="13">
                  <c:v>1.9018117189637085E-2</c:v>
                </c:pt>
                <c:pt idx="14">
                  <c:v>1.5282369269299156E-2</c:v>
                </c:pt>
                <c:pt idx="15">
                  <c:v>1.23303066042596E-2</c:v>
                </c:pt>
                <c:pt idx="16">
                  <c:v>9.9902268653463411E-3</c:v>
                </c:pt>
                <c:pt idx="17">
                  <c:v>8.1285119502205738E-3</c:v>
                </c:pt>
                <c:pt idx="18">
                  <c:v>6.6415466510930665E-3</c:v>
                </c:pt>
                <c:pt idx="19">
                  <c:v>5.4490423135213906E-3</c:v>
                </c:pt>
                <c:pt idx="20">
                  <c:v>4.4887224473574294E-3</c:v>
                </c:pt>
                <c:pt idx="21">
                  <c:v>3.7121777025214131E-3</c:v>
                </c:pt>
                <c:pt idx="22">
                  <c:v>3.0816690115968992E-3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4-4A36-935A-EAE42429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26576"/>
        <c:axId val="595127888"/>
      </c:scatterChart>
      <c:valAx>
        <c:axId val="5951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7888"/>
        <c:crosses val="autoZero"/>
        <c:crossBetween val="midCat"/>
      </c:valAx>
      <c:valAx>
        <c:axId val="5951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356154894127968E-2"/>
          <c:y val="6.4257028112449793E-2"/>
          <c:w val="0.87102316022813864"/>
          <c:h val="0.8626575593713437"/>
        </c:manualLayout>
      </c:layout>
      <c:scatterChart>
        <c:scatterStyle val="smoothMarker"/>
        <c:varyColors val="0"/>
        <c:ser>
          <c:idx val="0"/>
          <c:order val="0"/>
          <c:tx>
            <c:v>Study_Data</c:v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cyprus_income!$C$15:$C$24</c:f>
              <c:numCache>
                <c:formatCode>_-* #,##0.00\ _€_-;\-* #,##0.00\ _€_-;_-* "-"??\ _€_-;_-@_-</c:formatCode>
                <c:ptCount val="10"/>
                <c:pt idx="0">
                  <c:v>6685</c:v>
                </c:pt>
                <c:pt idx="1">
                  <c:v>9595</c:v>
                </c:pt>
                <c:pt idx="2">
                  <c:v>11275</c:v>
                </c:pt>
                <c:pt idx="3">
                  <c:v>12979</c:v>
                </c:pt>
                <c:pt idx="4">
                  <c:v>14853</c:v>
                </c:pt>
                <c:pt idx="5">
                  <c:v>17030</c:v>
                </c:pt>
                <c:pt idx="6">
                  <c:v>19414</c:v>
                </c:pt>
                <c:pt idx="7">
                  <c:v>22912</c:v>
                </c:pt>
                <c:pt idx="8">
                  <c:v>28273</c:v>
                </c:pt>
                <c:pt idx="9">
                  <c:v>45226</c:v>
                </c:pt>
              </c:numCache>
            </c:numRef>
          </c:xVal>
          <c:yVal>
            <c:numRef>
              <c:f>cyprus_income!$A$15:$A$24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E-45D5-AC46-45A58DB95B3D}"/>
            </c:ext>
          </c:extLst>
        </c:ser>
        <c:ser>
          <c:idx val="2"/>
          <c:order val="1"/>
          <c:tx>
            <c:v>Study_Estimation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cyprus_income!$C$15:$C$24</c:f>
              <c:numCache>
                <c:formatCode>_-* #,##0.00\ _€_-;\-* #,##0.00\ _€_-;_-* "-"??\ _€_-;_-@_-</c:formatCode>
                <c:ptCount val="10"/>
                <c:pt idx="0">
                  <c:v>6685</c:v>
                </c:pt>
                <c:pt idx="1">
                  <c:v>9595</c:v>
                </c:pt>
                <c:pt idx="2">
                  <c:v>11275</c:v>
                </c:pt>
                <c:pt idx="3">
                  <c:v>12979</c:v>
                </c:pt>
                <c:pt idx="4">
                  <c:v>14853</c:v>
                </c:pt>
                <c:pt idx="5">
                  <c:v>17030</c:v>
                </c:pt>
                <c:pt idx="6">
                  <c:v>19414</c:v>
                </c:pt>
                <c:pt idx="7">
                  <c:v>22912</c:v>
                </c:pt>
                <c:pt idx="8">
                  <c:v>28273</c:v>
                </c:pt>
                <c:pt idx="9">
                  <c:v>45226</c:v>
                </c:pt>
              </c:numCache>
            </c:numRef>
          </c:xVal>
          <c:yVal>
            <c:numRef>
              <c:f>cyprus_income!$E$15:$E$24</c:f>
              <c:numCache>
                <c:formatCode>0%</c:formatCode>
                <c:ptCount val="10"/>
                <c:pt idx="0">
                  <c:v>6.6268122733112361E-2</c:v>
                </c:pt>
                <c:pt idx="1">
                  <c:v>0.20645200388434465</c:v>
                </c:pt>
                <c:pt idx="2">
                  <c:v>0.30405001277168842</c:v>
                </c:pt>
                <c:pt idx="3">
                  <c:v>0.40289820144471927</c:v>
                </c:pt>
                <c:pt idx="4">
                  <c:v>0.50396495581717071</c:v>
                </c:pt>
                <c:pt idx="5">
                  <c:v>0.60616751301553151</c:v>
                </c:pt>
                <c:pt idx="6">
                  <c:v>0.69771195488765736</c:v>
                </c:pt>
                <c:pt idx="7">
                  <c:v>0.79730455315558657</c:v>
                </c:pt>
                <c:pt idx="8">
                  <c:v>0.89079798817407474</c:v>
                </c:pt>
                <c:pt idx="9">
                  <c:v>0.98306994161755401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E-45D5-AC46-45A58DB95B3D}"/>
            </c:ext>
          </c:extLst>
        </c:ser>
        <c:ser>
          <c:idx val="1"/>
          <c:order val="2"/>
          <c:tx>
            <c:v>Tax_Data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cyprus_income!$B$29:$B$33</c:f>
              <c:numCache>
                <c:formatCode>General</c:formatCode>
                <c:ptCount val="5"/>
                <c:pt idx="0">
                  <c:v>19500</c:v>
                </c:pt>
                <c:pt idx="1">
                  <c:v>28000</c:v>
                </c:pt>
                <c:pt idx="2">
                  <c:v>36300</c:v>
                </c:pt>
                <c:pt idx="3">
                  <c:v>60000</c:v>
                </c:pt>
              </c:numCache>
            </c:numRef>
          </c:xVal>
          <c:yVal>
            <c:numRef>
              <c:f>cyprus_income!$D$29:$D$33</c:f>
              <c:numCache>
                <c:formatCode>0%</c:formatCode>
                <c:ptCount val="5"/>
                <c:pt idx="0">
                  <c:v>0.40799999999999997</c:v>
                </c:pt>
                <c:pt idx="1">
                  <c:v>0.624</c:v>
                </c:pt>
                <c:pt idx="2">
                  <c:v>0.76200000000000001</c:v>
                </c:pt>
                <c:pt idx="3">
                  <c:v>0.92700000000000005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4E-45D5-AC46-45A58DB95B3D}"/>
            </c:ext>
          </c:extLst>
        </c:ser>
        <c:ser>
          <c:idx val="3"/>
          <c:order val="3"/>
          <c:tx>
            <c:v>Tax_Estimation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  <a:prstDash val="sysDot"/>
              </a:ln>
              <a:effectLst/>
            </c:spPr>
          </c:marker>
          <c:xVal>
            <c:numRef>
              <c:f>cyprus_income!$B$29:$B$32</c:f>
              <c:numCache>
                <c:formatCode>General</c:formatCode>
                <c:ptCount val="4"/>
                <c:pt idx="0">
                  <c:v>19500</c:v>
                </c:pt>
                <c:pt idx="1">
                  <c:v>28000</c:v>
                </c:pt>
                <c:pt idx="2">
                  <c:v>36300</c:v>
                </c:pt>
                <c:pt idx="3">
                  <c:v>60000</c:v>
                </c:pt>
              </c:numCache>
            </c:numRef>
          </c:xVal>
          <c:yVal>
            <c:numRef>
              <c:f>cyprus_income!$F$29:$F$32</c:f>
              <c:numCache>
                <c:formatCode>0%</c:formatCode>
                <c:ptCount val="4"/>
                <c:pt idx="0">
                  <c:v>0.4085949094083493</c:v>
                </c:pt>
                <c:pt idx="1">
                  <c:v>0.62389098475352878</c:v>
                </c:pt>
                <c:pt idx="2">
                  <c:v>0.760572057118308</c:v>
                </c:pt>
                <c:pt idx="3">
                  <c:v>0.92891483621211746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4E-45D5-AC46-45A58DB95B3D}"/>
            </c:ext>
          </c:extLst>
        </c:ser>
        <c:ser>
          <c:idx val="4"/>
          <c:order val="4"/>
          <c:tx>
            <c:v>ECB_HH_Data</c:v>
          </c:tx>
          <c:spPr>
            <a:ln w="381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  <a:prstDash val="sysDot"/>
              </a:ln>
              <a:effectLst/>
            </c:spPr>
          </c:marker>
          <c:xVal>
            <c:numRef>
              <c:f>cyprus_income!$C$2:$C$10</c:f>
              <c:numCache>
                <c:formatCode>_-* #,##0.0\ _€_-;\-* #,##0.0\ _€_-;_-* "-"??\ _€_-;_-@_-</c:formatCode>
                <c:ptCount val="9"/>
                <c:pt idx="0">
                  <c:v>8000</c:v>
                </c:pt>
                <c:pt idx="1">
                  <c:v>11700</c:v>
                </c:pt>
                <c:pt idx="2">
                  <c:v>15000</c:v>
                </c:pt>
                <c:pt idx="3">
                  <c:v>19500</c:v>
                </c:pt>
                <c:pt idx="4">
                  <c:v>25400</c:v>
                </c:pt>
                <c:pt idx="5">
                  <c:v>31100</c:v>
                </c:pt>
                <c:pt idx="6">
                  <c:v>38700</c:v>
                </c:pt>
                <c:pt idx="7">
                  <c:v>48600</c:v>
                </c:pt>
                <c:pt idx="8">
                  <c:v>63300</c:v>
                </c:pt>
              </c:numCache>
            </c:numRef>
          </c:xVal>
          <c:yVal>
            <c:numRef>
              <c:f>cyprus_income!$A$2:$A$10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4E-45D5-AC46-45A58DB95B3D}"/>
            </c:ext>
          </c:extLst>
        </c:ser>
        <c:ser>
          <c:idx val="5"/>
          <c:order val="5"/>
          <c:tx>
            <c:v>ECB_HH_Estimation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cyprus_income!$C$2:$C$10</c:f>
              <c:numCache>
                <c:formatCode>_-* #,##0.0\ _€_-;\-* #,##0.0\ _€_-;_-* "-"??\ _€_-;_-@_-</c:formatCode>
                <c:ptCount val="9"/>
                <c:pt idx="0">
                  <c:v>8000</c:v>
                </c:pt>
                <c:pt idx="1">
                  <c:v>11700</c:v>
                </c:pt>
                <c:pt idx="2">
                  <c:v>15000</c:v>
                </c:pt>
                <c:pt idx="3">
                  <c:v>19500</c:v>
                </c:pt>
                <c:pt idx="4">
                  <c:v>25400</c:v>
                </c:pt>
                <c:pt idx="5">
                  <c:v>31100</c:v>
                </c:pt>
                <c:pt idx="6">
                  <c:v>38700</c:v>
                </c:pt>
                <c:pt idx="7">
                  <c:v>48600</c:v>
                </c:pt>
                <c:pt idx="8">
                  <c:v>63300</c:v>
                </c:pt>
              </c:numCache>
            </c:numRef>
          </c:xVal>
          <c:yVal>
            <c:numRef>
              <c:f>cyprus_income!$E$2:$E$10</c:f>
              <c:numCache>
                <c:formatCode>0%</c:formatCode>
                <c:ptCount val="9"/>
                <c:pt idx="0">
                  <c:v>9.5515339722679019E-2</c:v>
                </c:pt>
                <c:pt idx="1">
                  <c:v>0.19485442385481144</c:v>
                </c:pt>
                <c:pt idx="2">
                  <c:v>0.28510767307425899</c:v>
                </c:pt>
                <c:pt idx="3">
                  <c:v>0.39783262643061368</c:v>
                </c:pt>
                <c:pt idx="4">
                  <c:v>0.52078790858360224</c:v>
                </c:pt>
                <c:pt idx="5">
                  <c:v>0.61424573852841902</c:v>
                </c:pt>
                <c:pt idx="6">
                  <c:v>0.70805355096708689</c:v>
                </c:pt>
                <c:pt idx="7">
                  <c:v>0.79268798700307608</c:v>
                </c:pt>
                <c:pt idx="8">
                  <c:v>0.87008433123245355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B4E-45D5-AC46-45A58DB9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61680"/>
        <c:axId val="380562008"/>
        <c:extLst/>
      </c:scatterChart>
      <c:valAx>
        <c:axId val="3805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2008"/>
        <c:crosses val="autoZero"/>
        <c:crossBetween val="midCat"/>
      </c:valAx>
      <c:valAx>
        <c:axId val="380562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77298071989794"/>
          <c:y val="0.40959244839406167"/>
          <c:w val="0.1899064159396528"/>
          <c:h val="0.28008494788773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9317517829529E-2"/>
          <c:y val="7.8117002526451346E-2"/>
          <c:w val="0.87102316022813864"/>
          <c:h val="0.8626575593713437"/>
        </c:manualLayout>
      </c:layout>
      <c:scatterChart>
        <c:scatterStyle val="smoothMarker"/>
        <c:varyColors val="0"/>
        <c:ser>
          <c:idx val="0"/>
          <c:order val="0"/>
          <c:tx>
            <c:v>House_real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'[1]cyprus data'!$B$3:$B$9</c:f>
              <c:numCache>
                <c:formatCode>General</c:formatCode>
                <c:ptCount val="7"/>
                <c:pt idx="0">
                  <c:v>40000</c:v>
                </c:pt>
                <c:pt idx="1">
                  <c:v>120000</c:v>
                </c:pt>
                <c:pt idx="2">
                  <c:v>170000</c:v>
                </c:pt>
                <c:pt idx="3">
                  <c:v>300000</c:v>
                </c:pt>
                <c:pt idx="4">
                  <c:v>500000</c:v>
                </c:pt>
                <c:pt idx="5">
                  <c:v>800000</c:v>
                </c:pt>
                <c:pt idx="6">
                  <c:v>3000000</c:v>
                </c:pt>
              </c:numCache>
            </c:numRef>
          </c:xVal>
          <c:yVal>
            <c:numRef>
              <c:f>'[1]cyprus data'!$D$3:$D$9</c:f>
              <c:numCache>
                <c:formatCode>General</c:formatCode>
                <c:ptCount val="7"/>
                <c:pt idx="0">
                  <c:v>0.06</c:v>
                </c:pt>
                <c:pt idx="1">
                  <c:v>0.14000000000000001</c:v>
                </c:pt>
                <c:pt idx="2">
                  <c:v>0.23</c:v>
                </c:pt>
                <c:pt idx="3">
                  <c:v>0.34</c:v>
                </c:pt>
                <c:pt idx="4">
                  <c:v>0.47000000000000003</c:v>
                </c:pt>
                <c:pt idx="5">
                  <c:v>0.62</c:v>
                </c:pt>
                <c:pt idx="6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8-4495-9E53-76C2C016948A}"/>
            </c:ext>
          </c:extLst>
        </c:ser>
        <c:ser>
          <c:idx val="1"/>
          <c:order val="1"/>
          <c:tx>
            <c:v>House_sim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'[1]cyprus data'!$B$3:$B$9</c:f>
              <c:numCache>
                <c:formatCode>General</c:formatCode>
                <c:ptCount val="7"/>
                <c:pt idx="0">
                  <c:v>40000</c:v>
                </c:pt>
                <c:pt idx="1">
                  <c:v>120000</c:v>
                </c:pt>
                <c:pt idx="2">
                  <c:v>170000</c:v>
                </c:pt>
                <c:pt idx="3">
                  <c:v>300000</c:v>
                </c:pt>
                <c:pt idx="4">
                  <c:v>500000</c:v>
                </c:pt>
                <c:pt idx="5">
                  <c:v>800000</c:v>
                </c:pt>
                <c:pt idx="6">
                  <c:v>3000000</c:v>
                </c:pt>
              </c:numCache>
            </c:numRef>
          </c:xVal>
          <c:yVal>
            <c:numRef>
              <c:f>'[1]cyprus data'!$F$3:$F$9</c:f>
              <c:numCache>
                <c:formatCode>General</c:formatCode>
                <c:ptCount val="7"/>
                <c:pt idx="0">
                  <c:v>5.4854207401542412E-2</c:v>
                </c:pt>
                <c:pt idx="1">
                  <c:v>0.17243938063239006</c:v>
                </c:pt>
                <c:pt idx="2">
                  <c:v>0.23058337604945978</c:v>
                </c:pt>
                <c:pt idx="3">
                  <c:v>0.34519556239874055</c:v>
                </c:pt>
                <c:pt idx="4">
                  <c:v>0.46263537897249957</c:v>
                </c:pt>
                <c:pt idx="5">
                  <c:v>0.5739325878704632</c:v>
                </c:pt>
                <c:pt idx="6">
                  <c:v>0.83506048830939994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8-4495-9E53-76C2C016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61680"/>
        <c:axId val="380562008"/>
        <c:extLst/>
      </c:scatterChart>
      <c:valAx>
        <c:axId val="3805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2008"/>
        <c:crosses val="autoZero"/>
        <c:crossBetween val="midCat"/>
      </c:valAx>
      <c:valAx>
        <c:axId val="380562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77298071989794"/>
          <c:y val="0.40959244839406167"/>
          <c:w val="0.14239824499549497"/>
          <c:h val="0.1807241564683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01775874506921E-2"/>
          <c:y val="5.9248332744686598E-2"/>
          <c:w val="0.87102316022813864"/>
          <c:h val="0.8626575593713437"/>
        </c:manualLayout>
      </c:layout>
      <c:scatterChart>
        <c:scatterStyle val="smoothMarker"/>
        <c:varyColors val="0"/>
        <c:ser>
          <c:idx val="0"/>
          <c:order val="0"/>
          <c:tx>
            <c:v>Owner_real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'[1]cyprus data'!$B$15:$B$26</c:f>
              <c:numCache>
                <c:formatCode>General</c:formatCode>
                <c:ptCount val="12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350000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3000000</c:v>
                </c:pt>
                <c:pt idx="9">
                  <c:v>5000000</c:v>
                </c:pt>
                <c:pt idx="10">
                  <c:v>10000000</c:v>
                </c:pt>
                <c:pt idx="11">
                  <c:v>30000000</c:v>
                </c:pt>
              </c:numCache>
            </c:numRef>
          </c:xVal>
          <c:yVal>
            <c:numRef>
              <c:f>'[1]cyprus data'!$E$15:$E$26</c:f>
              <c:numCache>
                <c:formatCode>General</c:formatCode>
                <c:ptCount val="12"/>
                <c:pt idx="0">
                  <c:v>0.17460000000000001</c:v>
                </c:pt>
                <c:pt idx="1">
                  <c:v>0.30940000000000001</c:v>
                </c:pt>
                <c:pt idx="2">
                  <c:v>0.5353</c:v>
                </c:pt>
                <c:pt idx="3">
                  <c:v>0.6744</c:v>
                </c:pt>
                <c:pt idx="4">
                  <c:v>0.72370000000000001</c:v>
                </c:pt>
                <c:pt idx="5">
                  <c:v>0.81910000000000005</c:v>
                </c:pt>
                <c:pt idx="6">
                  <c:v>0.93220000000000003</c:v>
                </c:pt>
                <c:pt idx="7">
                  <c:v>0.96230000000000004</c:v>
                </c:pt>
                <c:pt idx="8">
                  <c:v>0.9849</c:v>
                </c:pt>
                <c:pt idx="9">
                  <c:v>0.99099999999999999</c:v>
                </c:pt>
                <c:pt idx="10">
                  <c:v>0.99439999999999995</c:v>
                </c:pt>
                <c:pt idx="11">
                  <c:v>0.99579999999999991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0-4149-A835-4FFECA64A449}"/>
            </c:ext>
          </c:extLst>
        </c:ser>
        <c:ser>
          <c:idx val="1"/>
          <c:order val="1"/>
          <c:tx>
            <c:v>Owner_sim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'[1]cyprus data'!$B$15:$B$26</c:f>
              <c:numCache>
                <c:formatCode>General</c:formatCode>
                <c:ptCount val="12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350000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3000000</c:v>
                </c:pt>
                <c:pt idx="9">
                  <c:v>5000000</c:v>
                </c:pt>
                <c:pt idx="10">
                  <c:v>10000000</c:v>
                </c:pt>
                <c:pt idx="11">
                  <c:v>30000000</c:v>
                </c:pt>
              </c:numCache>
            </c:numRef>
          </c:xVal>
          <c:yVal>
            <c:numRef>
              <c:f>'[1]cyprus data'!$G$15:$G$26</c:f>
              <c:numCache>
                <c:formatCode>General</c:formatCode>
                <c:ptCount val="12"/>
                <c:pt idx="0">
                  <c:v>0.15162622052041183</c:v>
                </c:pt>
                <c:pt idx="1">
                  <c:v>0.32423304609584069</c:v>
                </c:pt>
                <c:pt idx="2">
                  <c:v>0.54684548474278394</c:v>
                </c:pt>
                <c:pt idx="3">
                  <c:v>0.67480618150297778</c:v>
                </c:pt>
                <c:pt idx="4">
                  <c:v>0.71930755580961803</c:v>
                </c:pt>
                <c:pt idx="5">
                  <c:v>0.80946853606976588</c:v>
                </c:pt>
                <c:pt idx="6">
                  <c:v>0.92640504979358351</c:v>
                </c:pt>
                <c:pt idx="7">
                  <c:v>0.96287399600362567</c:v>
                </c:pt>
                <c:pt idx="8">
                  <c:v>0.9908291512640095</c:v>
                </c:pt>
                <c:pt idx="9">
                  <c:v>0.99729343867053788</c:v>
                </c:pt>
                <c:pt idx="10">
                  <c:v>0.99960310651501938</c:v>
                </c:pt>
                <c:pt idx="11">
                  <c:v>0.99998996317923794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0-4149-A835-4FFECA64A449}"/>
            </c:ext>
          </c:extLst>
        </c:ser>
        <c:ser>
          <c:idx val="2"/>
          <c:order val="2"/>
          <c:tx>
            <c:v>recent_real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cyprus_houses!$B$30:$B$34</c:f>
              <c:numCache>
                <c:formatCode>#,##0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cyprus_houses!$E$30:$E$34</c:f>
              <c:numCache>
                <c:formatCode>0.0%</c:formatCode>
                <c:ptCount val="5"/>
                <c:pt idx="0">
                  <c:v>0.63058905010158839</c:v>
                </c:pt>
                <c:pt idx="1">
                  <c:v>0.83470182263837533</c:v>
                </c:pt>
                <c:pt idx="2">
                  <c:v>0.94576724228888975</c:v>
                </c:pt>
                <c:pt idx="3">
                  <c:v>0.98498223894770165</c:v>
                </c:pt>
                <c:pt idx="4">
                  <c:v>0.99638285957000128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0-4149-A835-4FFECA64A449}"/>
            </c:ext>
          </c:extLst>
        </c:ser>
        <c:ser>
          <c:idx val="3"/>
          <c:order val="3"/>
          <c:tx>
            <c:v>recent_sim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cyprus_houses!$B$30:$B$34</c:f>
              <c:numCache>
                <c:formatCode>#,##0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cyprus_houses!$G$30:$G$34</c:f>
              <c:numCache>
                <c:formatCode>0.0%</c:formatCode>
                <c:ptCount val="5"/>
                <c:pt idx="0">
                  <c:v>0.63104094469131189</c:v>
                </c:pt>
                <c:pt idx="1">
                  <c:v>0.83374750706662493</c:v>
                </c:pt>
                <c:pt idx="2">
                  <c:v>0.94559331442155581</c:v>
                </c:pt>
                <c:pt idx="3">
                  <c:v>0.98739007850894878</c:v>
                </c:pt>
                <c:pt idx="4">
                  <c:v>0.9979637296423004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0-4149-A835-4FFECA64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61680"/>
        <c:axId val="380562008"/>
        <c:extLst/>
      </c:scatterChart>
      <c:valAx>
        <c:axId val="380561680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2008"/>
        <c:crosses val="autoZero"/>
        <c:crossBetween val="midCat"/>
      </c:valAx>
      <c:valAx>
        <c:axId val="380562008"/>
        <c:scaling>
          <c:orientation val="minMax"/>
          <c:max val="0.9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77298071989794"/>
          <c:y val="0.40959244839406167"/>
          <c:w val="0.18666690487785587"/>
          <c:h val="0.2795050618672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House_sim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cyprus_houses!$B$15:$B$23</c:f>
              <c:numCache>
                <c:formatCode>#,##0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350000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3000000</c:v>
                </c:pt>
              </c:numCache>
            </c:numRef>
          </c:xVal>
          <c:yVal>
            <c:numRef>
              <c:f>cyprus_houses!$H$15:$H$23</c:f>
              <c:numCache>
                <c:formatCode>0.00%</c:formatCode>
                <c:ptCount val="9"/>
                <c:pt idx="0">
                  <c:v>0.15162622052041183</c:v>
                </c:pt>
                <c:pt idx="1">
                  <c:v>0.17260682557542886</c:v>
                </c:pt>
                <c:pt idx="2">
                  <c:v>0.22261243864694324</c:v>
                </c:pt>
                <c:pt idx="3">
                  <c:v>0.12796069676019384</c:v>
                </c:pt>
                <c:pt idx="4">
                  <c:v>4.4501374306640251E-2</c:v>
                </c:pt>
                <c:pt idx="5">
                  <c:v>9.0160980260147849E-2</c:v>
                </c:pt>
                <c:pt idx="6">
                  <c:v>0.11693651372381764</c:v>
                </c:pt>
                <c:pt idx="7">
                  <c:v>3.6468946210042152E-2</c:v>
                </c:pt>
                <c:pt idx="8">
                  <c:v>2.7955155260383835E-2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6B-408C-888B-80A0EB5B171B}"/>
            </c:ext>
          </c:extLst>
        </c:ser>
        <c:ser>
          <c:idx val="1"/>
          <c:order val="1"/>
          <c:tx>
            <c:v>house_real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cyprus_houses!$B$15:$B$23</c:f>
              <c:numCache>
                <c:formatCode>#,##0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350000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3000000</c:v>
                </c:pt>
              </c:numCache>
            </c:numRef>
          </c:xVal>
          <c:yVal>
            <c:numRef>
              <c:f>cyprus_houses!$D$15:$D$23</c:f>
              <c:numCache>
                <c:formatCode>0.00%</c:formatCode>
                <c:ptCount val="9"/>
                <c:pt idx="0">
                  <c:v>0.17460000000000001</c:v>
                </c:pt>
                <c:pt idx="1">
                  <c:v>0.1348</c:v>
                </c:pt>
                <c:pt idx="2">
                  <c:v>0.22589999999999999</c:v>
                </c:pt>
                <c:pt idx="3">
                  <c:v>0.1391</c:v>
                </c:pt>
                <c:pt idx="4">
                  <c:v>4.9299999999999997E-2</c:v>
                </c:pt>
                <c:pt idx="5">
                  <c:v>9.5399999999999999E-2</c:v>
                </c:pt>
                <c:pt idx="6">
                  <c:v>0.11310000000000001</c:v>
                </c:pt>
                <c:pt idx="7">
                  <c:v>3.0099999999999998E-2</c:v>
                </c:pt>
                <c:pt idx="8">
                  <c:v>2.2599999999999999E-2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6B-408C-888B-80A0EB5B171B}"/>
            </c:ext>
          </c:extLst>
        </c:ser>
        <c:ser>
          <c:idx val="4"/>
          <c:order val="4"/>
          <c:tx>
            <c:v>recent_real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cyprus_houses!$B$30:$B$34</c:f>
              <c:numCache>
                <c:formatCode>#,##0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cyprus_houses!$D$30:$D$34</c:f>
              <c:numCache>
                <c:formatCode>0.0%</c:formatCode>
                <c:ptCount val="5"/>
                <c:pt idx="0">
                  <c:v>0.63058905010158839</c:v>
                </c:pt>
                <c:pt idx="1">
                  <c:v>0.20411277253678689</c:v>
                </c:pt>
                <c:pt idx="2">
                  <c:v>0.11106541965051443</c:v>
                </c:pt>
                <c:pt idx="3">
                  <c:v>3.9214996658811944E-2</c:v>
                </c:pt>
                <c:pt idx="4">
                  <c:v>1.1400620622299656E-2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6B-408C-888B-80A0EB5B171B}"/>
            </c:ext>
          </c:extLst>
        </c:ser>
        <c:ser>
          <c:idx val="5"/>
          <c:order val="5"/>
          <c:tx>
            <c:v>recent_sim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cyprus_houses!$B$30:$B$34</c:f>
              <c:numCache>
                <c:formatCode>#,##0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cyprus_houses!$H$30:$H$34</c:f>
              <c:numCache>
                <c:formatCode>0.0%</c:formatCode>
                <c:ptCount val="5"/>
                <c:pt idx="0">
                  <c:v>0.63104094469131189</c:v>
                </c:pt>
                <c:pt idx="1">
                  <c:v>0.20270656237531304</c:v>
                </c:pt>
                <c:pt idx="2">
                  <c:v>0.11184580735493088</c:v>
                </c:pt>
                <c:pt idx="3">
                  <c:v>4.1796764087392968E-2</c:v>
                </c:pt>
                <c:pt idx="4">
                  <c:v>1.0573651133351625E-2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6B-408C-888B-80A0EB5B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2352"/>
        <c:axId val="69553136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prices_real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cyprus_houses!$B$3:$B$9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40000</c:v>
                      </c:pt>
                      <c:pt idx="1">
                        <c:v>120000</c:v>
                      </c:pt>
                      <c:pt idx="2">
                        <c:v>170000</c:v>
                      </c:pt>
                      <c:pt idx="3">
                        <c:v>300000</c:v>
                      </c:pt>
                      <c:pt idx="4">
                        <c:v>500000</c:v>
                      </c:pt>
                      <c:pt idx="5">
                        <c:v>800000</c:v>
                      </c:pt>
                      <c:pt idx="6">
                        <c:v>3000000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cyprus_houses!$C$3:$C$9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0.06</c:v>
                      </c:pt>
                      <c:pt idx="1">
                        <c:v>0.08</c:v>
                      </c:pt>
                      <c:pt idx="2">
                        <c:v>0.09</c:v>
                      </c:pt>
                      <c:pt idx="3">
                        <c:v>0.11</c:v>
                      </c:pt>
                      <c:pt idx="4">
                        <c:v>0.13</c:v>
                      </c:pt>
                      <c:pt idx="5">
                        <c:v>0.15</c:v>
                      </c:pt>
                      <c:pt idx="6">
                        <c:v>0.17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D6B-408C-888B-80A0EB5B171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prices_sim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cyprus_houses!$B$3:$B$9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40000</c:v>
                      </c:pt>
                      <c:pt idx="1">
                        <c:v>120000</c:v>
                      </c:pt>
                      <c:pt idx="2">
                        <c:v>170000</c:v>
                      </c:pt>
                      <c:pt idx="3">
                        <c:v>300000</c:v>
                      </c:pt>
                      <c:pt idx="4">
                        <c:v>500000</c:v>
                      </c:pt>
                      <c:pt idx="5">
                        <c:v>800000</c:v>
                      </c:pt>
                      <c:pt idx="6">
                        <c:v>3000000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cyprus_houses!$E$3:$E$9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5.4854207401542412E-2</c:v>
                      </c:pt>
                      <c:pt idx="1">
                        <c:v>0.11758517323084765</c:v>
                      </c:pt>
                      <c:pt idx="2">
                        <c:v>5.8143995417069716E-2</c:v>
                      </c:pt>
                      <c:pt idx="3">
                        <c:v>0.11461218634928078</c:v>
                      </c:pt>
                      <c:pt idx="4">
                        <c:v>0.11743981657375901</c:v>
                      </c:pt>
                      <c:pt idx="5">
                        <c:v>0.11129720889796363</c:v>
                      </c:pt>
                      <c:pt idx="6">
                        <c:v>0.26112790043893674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6B-408C-888B-80A0EB5B171B}"/>
                  </c:ext>
                </c:extLst>
              </c15:ser>
            </c15:filteredScatterSeries>
          </c:ext>
        </c:extLst>
      </c:scatterChart>
      <c:valAx>
        <c:axId val="6955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1368"/>
        <c:crosses val="autoZero"/>
        <c:crossBetween val="midCat"/>
      </c:valAx>
      <c:valAx>
        <c:axId val="6955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76199</xdr:rowOff>
    </xdr:from>
    <xdr:to>
      <xdr:col>15</xdr:col>
      <xdr:colOff>400050</xdr:colOff>
      <xdr:row>22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242FA-D51E-5145-A645-10C4DB6C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95250</xdr:rowOff>
    </xdr:from>
    <xdr:to>
      <xdr:col>16</xdr:col>
      <xdr:colOff>457200</xdr:colOff>
      <xdr:row>22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70CF5-65B6-4ED3-B0DA-D8E69CBC5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171450</xdr:rowOff>
    </xdr:from>
    <xdr:to>
      <xdr:col>22</xdr:col>
      <xdr:colOff>85725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D897B-825F-C533-A084-EAA543E38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16</xdr:col>
      <xdr:colOff>1638300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4393B-DAAA-42AA-B03D-81885A962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1085850</xdr:colOff>
      <xdr:row>0</xdr:row>
      <xdr:rowOff>0</xdr:rowOff>
    </xdr:from>
    <xdr:to>
      <xdr:col>13</xdr:col>
      <xdr:colOff>552450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2344C-6AD5-494A-97D9-70CD8489F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219076</xdr:colOff>
      <xdr:row>11</xdr:row>
      <xdr:rowOff>38100</xdr:rowOff>
    </xdr:from>
    <xdr:to>
      <xdr:col>12</xdr:col>
      <xdr:colOff>752475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FF5BB-EB21-41F0-A56A-EA898013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152399</xdr:rowOff>
    </xdr:from>
    <xdr:to>
      <xdr:col>13</xdr:col>
      <xdr:colOff>571499</xdr:colOff>
      <xdr:row>32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0E8863-7AC1-F8F4-095E-34BCA1E05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x_l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cyprus data"/>
      <sheetName val="output"/>
    </sheetNames>
    <sheetDataSet>
      <sheetData sheetId="0"/>
      <sheetData sheetId="1">
        <row r="3">
          <cell r="B3">
            <v>40000</v>
          </cell>
          <cell r="D3">
            <v>0.06</v>
          </cell>
          <cell r="F3">
            <v>5.4854207401542412E-2</v>
          </cell>
        </row>
        <row r="4">
          <cell r="B4">
            <v>120000</v>
          </cell>
          <cell r="D4">
            <v>0.14000000000000001</v>
          </cell>
          <cell r="F4">
            <v>0.17243938063239006</v>
          </cell>
        </row>
        <row r="5">
          <cell r="B5">
            <v>170000</v>
          </cell>
          <cell r="D5">
            <v>0.23</v>
          </cell>
          <cell r="F5">
            <v>0.23058337604945978</v>
          </cell>
        </row>
        <row r="6">
          <cell r="B6">
            <v>300000</v>
          </cell>
          <cell r="D6">
            <v>0.34</v>
          </cell>
          <cell r="F6">
            <v>0.34519556239874055</v>
          </cell>
        </row>
        <row r="7">
          <cell r="B7">
            <v>500000</v>
          </cell>
          <cell r="D7">
            <v>0.47000000000000003</v>
          </cell>
          <cell r="F7">
            <v>0.46263537897249957</v>
          </cell>
        </row>
        <row r="8">
          <cell r="B8">
            <v>800000</v>
          </cell>
          <cell r="D8">
            <v>0.62</v>
          </cell>
          <cell r="F8">
            <v>0.5739325878704632</v>
          </cell>
        </row>
        <row r="9">
          <cell r="B9">
            <v>3000000</v>
          </cell>
          <cell r="D9">
            <v>0.79</v>
          </cell>
          <cell r="F9">
            <v>0.83506048830939994</v>
          </cell>
        </row>
        <row r="15">
          <cell r="B15">
            <v>50000</v>
          </cell>
          <cell r="E15">
            <v>0.17460000000000001</v>
          </cell>
          <cell r="G15">
            <v>0.15162622052041183</v>
          </cell>
        </row>
        <row r="16">
          <cell r="B16">
            <v>100000</v>
          </cell>
          <cell r="E16">
            <v>0.30940000000000001</v>
          </cell>
          <cell r="G16">
            <v>0.32423304609584069</v>
          </cell>
        </row>
        <row r="17">
          <cell r="B17">
            <v>200000</v>
          </cell>
          <cell r="E17">
            <v>0.5353</v>
          </cell>
          <cell r="G17">
            <v>0.54684548474278394</v>
          </cell>
        </row>
        <row r="18">
          <cell r="B18">
            <v>300000</v>
          </cell>
          <cell r="E18">
            <v>0.6744</v>
          </cell>
          <cell r="G18">
            <v>0.67480618150297778</v>
          </cell>
        </row>
        <row r="19">
          <cell r="B19">
            <v>350000</v>
          </cell>
          <cell r="E19">
            <v>0.72370000000000001</v>
          </cell>
          <cell r="G19">
            <v>0.71930755580961803</v>
          </cell>
        </row>
        <row r="20">
          <cell r="B20">
            <v>500000</v>
          </cell>
          <cell r="E20">
            <v>0.81910000000000005</v>
          </cell>
          <cell r="G20">
            <v>0.80946853606976588</v>
          </cell>
        </row>
        <row r="21">
          <cell r="B21">
            <v>1000000</v>
          </cell>
          <cell r="E21">
            <v>0.93220000000000003</v>
          </cell>
          <cell r="G21">
            <v>0.92640504979358351</v>
          </cell>
        </row>
        <row r="22">
          <cell r="B22">
            <v>1500000</v>
          </cell>
          <cell r="E22">
            <v>0.96230000000000004</v>
          </cell>
          <cell r="G22">
            <v>0.96287399600362567</v>
          </cell>
        </row>
        <row r="23">
          <cell r="B23">
            <v>3000000</v>
          </cell>
          <cell r="E23">
            <v>0.9849</v>
          </cell>
          <cell r="G23">
            <v>0.9908291512640095</v>
          </cell>
        </row>
        <row r="24">
          <cell r="B24">
            <v>5000000</v>
          </cell>
          <cell r="E24">
            <v>0.99099999999999999</v>
          </cell>
          <cell r="G24">
            <v>0.99729343867053788</v>
          </cell>
        </row>
        <row r="25">
          <cell r="B25">
            <v>10000000</v>
          </cell>
          <cell r="E25">
            <v>0.99439999999999995</v>
          </cell>
          <cell r="G25">
            <v>0.99960310651501938</v>
          </cell>
        </row>
        <row r="26">
          <cell r="B26">
            <v>30000000</v>
          </cell>
          <cell r="E26">
            <v>0.99579999999999991</v>
          </cell>
          <cell r="G26">
            <v>0.99998996317923794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yprustaxcalculator.com/" TargetMode="External"/><Relationship Id="rId2" Type="http://schemas.openxmlformats.org/officeDocument/2006/relationships/hyperlink" Target="https://www.cystat.gov.cy/el/SubthemeStatistics?id=43" TargetMode="External"/><Relationship Id="rId1" Type="http://schemas.openxmlformats.org/officeDocument/2006/relationships/hyperlink" Target="https://www.iser.essex.ac.uk/wp-content/uploads/files/working-papers/euromod/em10-19.pdf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www.evidentrust.com/calculators/cyprus-pension-calculator/" TargetMode="External"/><Relationship Id="rId4" Type="http://schemas.openxmlformats.org/officeDocument/2006/relationships/hyperlink" Target="https://ec.europa.eu/eurostat/statistics-explained/index.php?title=Archive:Marriages_and_births_in_Cypr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../../Downloads/Individual.pdf" TargetMode="External"/><Relationship Id="rId1" Type="http://schemas.openxmlformats.org/officeDocument/2006/relationships/hyperlink" Target="https://www.ecb.europa.eu/home/pdf/research/hfcn/HFCS_Statistical_Tables_Wave_2017_May2021.pdf?ca15e575b6b7765dad1147e7a3dba728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F1AF-BD52-4EF9-8C17-07891A77CC01}">
  <sheetPr>
    <tabColor theme="9"/>
  </sheetPr>
  <dimension ref="A1:O46"/>
  <sheetViews>
    <sheetView workbookViewId="0">
      <selection activeCell="F22" sqref="F22"/>
    </sheetView>
  </sheetViews>
  <sheetFormatPr defaultRowHeight="15.75" x14ac:dyDescent="0.25"/>
  <cols>
    <col min="1" max="1" width="20.140625" style="2" bestFit="1" customWidth="1"/>
    <col min="2" max="2" width="24.42578125" style="2" bestFit="1" customWidth="1"/>
    <col min="3" max="3" width="16.85546875" style="2" bestFit="1" customWidth="1"/>
    <col min="4" max="4" width="27.7109375" style="2" bestFit="1" customWidth="1"/>
    <col min="5" max="5" width="20" style="2" bestFit="1" customWidth="1"/>
    <col min="6" max="6" width="12" style="2" bestFit="1" customWidth="1"/>
    <col min="7" max="7" width="13.42578125" bestFit="1" customWidth="1"/>
    <col min="8" max="8" width="9.85546875" bestFit="1" customWidth="1"/>
    <col min="9" max="9" width="12" bestFit="1" customWidth="1"/>
    <col min="10" max="11" width="25.85546875" bestFit="1" customWidth="1"/>
    <col min="12" max="12" width="17.5703125" bestFit="1" customWidth="1"/>
    <col min="13" max="15" width="10.42578125" bestFit="1" customWidth="1"/>
  </cols>
  <sheetData>
    <row r="1" spans="1:14" ht="16.5" thickBot="1" x14ac:dyDescent="0.3">
      <c r="A1" s="248" t="s">
        <v>2</v>
      </c>
      <c r="B1" s="249"/>
      <c r="C1" s="250"/>
      <c r="D1" s="248" t="s">
        <v>1</v>
      </c>
      <c r="E1" s="249"/>
      <c r="F1" s="250"/>
      <c r="G1" s="134"/>
    </row>
    <row r="2" spans="1:14" ht="19.5" thickBot="1" x14ac:dyDescent="0.35">
      <c r="A2" s="111" t="s">
        <v>103</v>
      </c>
      <c r="B2" s="111" t="s">
        <v>104</v>
      </c>
      <c r="C2" s="111" t="s">
        <v>105</v>
      </c>
      <c r="D2" s="111" t="s">
        <v>106</v>
      </c>
      <c r="E2" s="111" t="s">
        <v>104</v>
      </c>
      <c r="F2" s="148" t="s">
        <v>105</v>
      </c>
      <c r="N2" s="1"/>
    </row>
    <row r="3" spans="1:14" ht="18.75" x14ac:dyDescent="0.3">
      <c r="A3" s="130">
        <f>output!F2</f>
        <v>28074.115665356538</v>
      </c>
      <c r="B3" s="5">
        <f>output!G2</f>
        <v>0</v>
      </c>
      <c r="C3" s="135">
        <f>IF($A$9&gt;A3, A3*B3, $A$9*B3)</f>
        <v>0</v>
      </c>
      <c r="D3" s="130">
        <v>21897.810218978102</v>
      </c>
      <c r="E3" s="5">
        <v>0</v>
      </c>
      <c r="F3" s="6">
        <f>D3*E3</f>
        <v>0</v>
      </c>
      <c r="J3" s="1"/>
      <c r="K3" s="1"/>
      <c r="N3" s="1"/>
    </row>
    <row r="4" spans="1:14" ht="18.75" x14ac:dyDescent="0.3">
      <c r="A4" s="130">
        <f>output!F3</f>
        <v>39303.761931499153</v>
      </c>
      <c r="B4" s="5">
        <f>output!G3</f>
        <v>0.3</v>
      </c>
      <c r="C4" s="136">
        <f>IF(A4&lt;A3, MAX(($A$9-A3)*B4,0), IF($A$9&gt;A4, (A4-A3)*B4, ($A$9-A3)*B4))</f>
        <v>3368.8938798427848</v>
      </c>
      <c r="D4" s="130">
        <v>31443.031443009542</v>
      </c>
      <c r="E4" s="5">
        <v>0.2</v>
      </c>
      <c r="F4" s="104">
        <f>IF($A$9&gt;D4,(D4-D3)*E4, MAX(($A$9-D3)*E4,0) )</f>
        <v>1909.0442448062881</v>
      </c>
      <c r="M4" s="1"/>
      <c r="N4" s="1"/>
    </row>
    <row r="5" spans="1:14" ht="18.75" x14ac:dyDescent="0.3">
      <c r="A5" s="130">
        <f>output!F4</f>
        <v>0</v>
      </c>
      <c r="B5" s="5">
        <f>output!G4</f>
        <v>0.45</v>
      </c>
      <c r="C5" s="136">
        <f>IF(A5&lt;A4, MAX(($A$9-A4)*B5,0), IF($A$9&gt;A5, (A5-A4)*B5, ($A$9-A4)*B5))</f>
        <v>252313.30713082541</v>
      </c>
      <c r="D5" s="130">
        <v>40763.647389129139</v>
      </c>
      <c r="E5" s="5">
        <v>0.25</v>
      </c>
      <c r="F5" s="104">
        <f>IF($A$9&gt;D5,(D5-D4)*E5, MAX(($A$9-D4)*E5,0) )</f>
        <v>2330.1539865298992</v>
      </c>
      <c r="K5" s="1"/>
      <c r="L5" s="1"/>
      <c r="M5" s="1"/>
      <c r="N5" s="1"/>
    </row>
    <row r="6" spans="1:14" ht="18.75" x14ac:dyDescent="0.3">
      <c r="A6" s="130">
        <f>output!F5</f>
        <v>0</v>
      </c>
      <c r="B6" s="5">
        <f>output!G5</f>
        <v>0</v>
      </c>
      <c r="C6" s="136">
        <f>IF(A6&lt;A5, MAX(($A$9-A5)*B6,0), IF($A$9&gt;A6, (A6-A5)*B6, ($A$9-A5)*B6))</f>
        <v>0</v>
      </c>
      <c r="D6" s="130">
        <v>66271.0901900647</v>
      </c>
      <c r="E6" s="5">
        <v>0.3</v>
      </c>
      <c r="F6" s="104">
        <f>IF($A$9&gt;D6,(D6-D5)*E6, MAX(($A$9-D5)*E6,0) )</f>
        <v>7652.2328402806679</v>
      </c>
      <c r="K6" s="1"/>
      <c r="L6" s="1"/>
      <c r="M6" s="1"/>
      <c r="N6" s="1"/>
    </row>
    <row r="7" spans="1:14" ht="19.5" thickBot="1" x14ac:dyDescent="0.35">
      <c r="A7" s="130">
        <f>output!F6</f>
        <v>0</v>
      </c>
      <c r="B7" s="5">
        <f>output!G6</f>
        <v>0</v>
      </c>
      <c r="C7" s="137">
        <f>IF(A7&lt;A6, MAX(($A$9-A6)*B7,0), IF($A$9&gt;A7, (A7-A6)*B7, ($A$9-A6)*B7))</f>
        <v>0</v>
      </c>
      <c r="D7" s="138"/>
      <c r="E7" s="7">
        <v>0.35</v>
      </c>
      <c r="F7" s="105">
        <f>IF($A$9&gt;D6,($A$9-D6)*E7,0)</f>
        <v>186805.11843347733</v>
      </c>
      <c r="K7" s="1"/>
      <c r="L7" s="1"/>
      <c r="M7" s="1"/>
      <c r="N7" s="1"/>
    </row>
    <row r="8" spans="1:14" ht="19.5" thickBot="1" x14ac:dyDescent="0.35">
      <c r="A8" s="111" t="s">
        <v>0</v>
      </c>
      <c r="B8" s="111" t="s">
        <v>110</v>
      </c>
      <c r="C8" s="111" t="s">
        <v>111</v>
      </c>
      <c r="D8" s="111" t="s">
        <v>109</v>
      </c>
      <c r="E8" s="148" t="s">
        <v>108</v>
      </c>
      <c r="K8" s="1"/>
      <c r="L8" s="1"/>
      <c r="M8" s="1"/>
      <c r="N8" s="1"/>
    </row>
    <row r="9" spans="1:14" ht="19.5" thickBot="1" x14ac:dyDescent="0.35">
      <c r="A9" s="124">
        <v>600000</v>
      </c>
      <c r="B9" s="8">
        <f>C9/A9</f>
        <v>0.42613700168444701</v>
      </c>
      <c r="C9" s="4">
        <f>SUM(C3:C7)</f>
        <v>255682.20101066821</v>
      </c>
      <c r="D9" s="3">
        <f>E9/A9</f>
        <v>0.33116091584182361</v>
      </c>
      <c r="E9" s="4">
        <f>SUM(F3:F7)</f>
        <v>198696.54950509418</v>
      </c>
      <c r="H9" s="246" t="s">
        <v>3</v>
      </c>
      <c r="I9" s="247"/>
      <c r="K9" s="1"/>
      <c r="L9" s="1"/>
      <c r="M9" s="1"/>
      <c r="N9" s="1"/>
    </row>
    <row r="10" spans="1:14" ht="19.5" thickBot="1" x14ac:dyDescent="0.35">
      <c r="A10" s="21" t="s">
        <v>102</v>
      </c>
      <c r="B10" s="20" t="s">
        <v>101</v>
      </c>
      <c r="C10" s="20" t="s">
        <v>100</v>
      </c>
      <c r="D10" s="30" t="s">
        <v>99</v>
      </c>
      <c r="E10" s="20" t="s">
        <v>113</v>
      </c>
      <c r="F10" s="31" t="s">
        <v>112</v>
      </c>
      <c r="G10" s="30" t="s">
        <v>107</v>
      </c>
      <c r="H10" s="20" t="s">
        <v>4</v>
      </c>
      <c r="I10" s="30" t="s">
        <v>5</v>
      </c>
      <c r="K10" s="1"/>
      <c r="L10" s="1"/>
      <c r="M10" s="1"/>
      <c r="N10" s="1"/>
    </row>
    <row r="11" spans="1:14" ht="18.75" x14ac:dyDescent="0.3">
      <c r="A11" s="27">
        <v>0</v>
      </c>
      <c r="B11" s="27">
        <f>taxable_new!D2</f>
        <v>0</v>
      </c>
      <c r="C11" s="28">
        <f>IFERROR(D11/A11,0)</f>
        <v>0</v>
      </c>
      <c r="D11" s="27">
        <f t="shared" ref="D11:D46" si="0">MAX(_xlfn.IFS($A$3&gt;$A$4,
SUM(
MAX(IF(A11&gt;$A$3, $A$3*$B$3, A11*$B$3),0),
MAX(IF($A$4&lt;$A$3, MAX((A11-$A$3)*$B$4,0), IF(A11&gt;$A$4, ($A$4-$A$3)*$B$4, (A11-$A$3)*$B$4)),0),),
$A$4&gt;$A$5,
SUM(
MAX(IF(A11&gt;$A$3, $A$3*$B$3, A11*$B$3),0),
MAX(IF($A$4&lt;$A$3, MAX((A11-$A$3)*$B$4,0), IF(A11&gt;$A$4, ($A$4-$A$3)*$B$4, (A11-$A$3)*$B$4)),0),
MAX(IF($A$5&lt;$A$4, MAX((A11-$A$4)*$B$5,0), IF(A11&gt;$A$5, ($A$5-$A$4)*$B$5, (A11-$A$4)*$B$5)),0),),
$A$5&gt;$A$6,
SUM(
MAX(IF(A11&gt;$A$3, $A$3*$B$3, A11*$B$3),0),
MAX(IF($A$4&lt;$A$3, MAX((A11-$A$3)*$B$4,0), IF(A11&gt;$A$4, ($A$4-$A$3)*$B$4, (A11-$A$3)*$B$4)),0),
MAX(IF($A$5&lt;$A$4, MAX((A11-$A$4)*$B$5,0), IF(A11&gt;$A$5, ($A$5-$A$4)*$B$5, (A11-$A$4)*$B$5)),0),
MAX(IF($A$6&lt;$A$5, MAX((A11-$A$5)*$B$6,0), IF(A11&gt;$A$6, ($A$6-$A$5)*$B$6, (A11-$A$5)*$B$6)),0),),
$A$6&gt;$A$7,
SUM(
MAX(IF(A11&gt;$A$3, $A$3*$B$3, A11*$B$3),0),
MAX(IF($A$4&lt;$A$3, MAX((A11-$A$3)*$B$4,0), IF(A11&gt;$A$4, ($A$4-$A$3)*$B$4, (A11-$A$3)*$B$4)),0),
MAX(IF($A$5&lt;$A$4, MAX((A11-$A$4)*$B$5,0), IF(A11&gt;$A$5, ($A$5-$A$4)*$B$5, (A11-$A$4)*$B$5)),0),
MAX(IF($A$6&lt;$A$5, MAX((A11-$A$5)*$B$6,0), IF(A11&gt;$A$6, ($A$6-$A$5)*$B$6, (A11-$A$5)*$B$6)),0),
MAX(IF($A$7&lt;$A$6, MAX((A11-$A$6)*$B$7,0), IF(A11&gt;$A$7, ($A$7-$A$6)*$B$7, (A11-$A$6)*$B$7)),0)
)
),0)</f>
        <v>0</v>
      </c>
      <c r="E11" s="27">
        <f>taxable_old!D2</f>
        <v>0</v>
      </c>
      <c r="F11" s="9">
        <f>IFERROR(G11/A11,0)</f>
        <v>0</v>
      </c>
      <c r="G11" s="27">
        <f t="shared" ref="G11:G46" si="1">_xlfn.IFS(A11&lt;$D$3,0,
A11&lt;$D$4,(A11-D$3)*$E$4,
A11&lt;$D$5,(A11-D$4)*$E$5+($D$4-$D$3)*$E$4,
A11&lt;$D$6,(A11-D$5)*$E$6+($D$4-$D$3)*$E$4+($D$5-$D$4)*$E$5,
A11 &gt;= $D$6,(A11-$D$6)*$E$7+($D$4-$D$3)*$E$4+($D$5-$D$4)*$E$5+($D$6-$D$5)*$E$6)</f>
        <v>0</v>
      </c>
      <c r="H11" s="29">
        <f t="shared" ref="H11:H12" si="2">F11-C11</f>
        <v>0</v>
      </c>
      <c r="I11" s="29">
        <f t="shared" ref="I11:I12" si="3">G11-D11</f>
        <v>0</v>
      </c>
      <c r="K11" s="1"/>
      <c r="L11" s="1"/>
      <c r="M11" s="1"/>
      <c r="N11" s="1"/>
    </row>
    <row r="12" spans="1:14" ht="18.75" x14ac:dyDescent="0.3">
      <c r="A12" s="25">
        <v>4000</v>
      </c>
      <c r="B12" s="27">
        <f>taxable_new!D3</f>
        <v>3562</v>
      </c>
      <c r="C12" s="26">
        <f t="shared" ref="C12:C27" si="4">D12/A12</f>
        <v>0</v>
      </c>
      <c r="D12" s="25">
        <f t="shared" si="0"/>
        <v>0</v>
      </c>
      <c r="E12" s="27">
        <f>taxable_old!D3</f>
        <v>3562</v>
      </c>
      <c r="F12" s="5">
        <f t="shared" ref="F12:F27" si="5">G12/A12</f>
        <v>0</v>
      </c>
      <c r="G12" s="25">
        <f t="shared" si="1"/>
        <v>0</v>
      </c>
      <c r="H12" s="23">
        <f t="shared" si="2"/>
        <v>0</v>
      </c>
      <c r="I12" s="23">
        <f t="shared" si="3"/>
        <v>0</v>
      </c>
      <c r="K12" s="1"/>
      <c r="L12" s="1"/>
      <c r="M12" s="1"/>
      <c r="N12" s="1"/>
    </row>
    <row r="13" spans="1:14" ht="18.75" x14ac:dyDescent="0.3">
      <c r="A13" s="25">
        <f>A12+4000</f>
        <v>8000</v>
      </c>
      <c r="B13" s="27">
        <f>taxable_new!D4</f>
        <v>7124</v>
      </c>
      <c r="C13" s="26">
        <f t="shared" si="4"/>
        <v>0</v>
      </c>
      <c r="D13" s="25">
        <f t="shared" si="0"/>
        <v>0</v>
      </c>
      <c r="E13" s="27">
        <f>taxable_old!D4</f>
        <v>7124</v>
      </c>
      <c r="F13" s="5">
        <f t="shared" si="5"/>
        <v>0</v>
      </c>
      <c r="G13" s="25">
        <f t="shared" si="1"/>
        <v>0</v>
      </c>
      <c r="H13" s="23">
        <f>F13-C13</f>
        <v>0</v>
      </c>
      <c r="I13" s="23">
        <f>G13-D13</f>
        <v>0</v>
      </c>
      <c r="K13" s="1"/>
      <c r="L13" s="1"/>
      <c r="M13" s="1"/>
      <c r="N13" s="1"/>
    </row>
    <row r="14" spans="1:14" ht="18.75" x14ac:dyDescent="0.3">
      <c r="A14" s="25">
        <f t="shared" ref="A14:A46" si="6">A13+4000</f>
        <v>12000</v>
      </c>
      <c r="B14" s="27">
        <f>taxable_new!D5</f>
        <v>10686</v>
      </c>
      <c r="C14" s="26">
        <f t="shared" si="4"/>
        <v>0</v>
      </c>
      <c r="D14" s="25">
        <f t="shared" si="0"/>
        <v>0</v>
      </c>
      <c r="E14" s="27">
        <f>taxable_old!D5</f>
        <v>10686</v>
      </c>
      <c r="F14" s="5">
        <f t="shared" si="5"/>
        <v>0</v>
      </c>
      <c r="G14" s="25">
        <f t="shared" si="1"/>
        <v>0</v>
      </c>
      <c r="H14" s="23">
        <f t="shared" ref="H14:H33" si="7">F14-C14</f>
        <v>0</v>
      </c>
      <c r="I14" s="23">
        <f t="shared" ref="I14:I33" si="8">G14-D14</f>
        <v>0</v>
      </c>
      <c r="K14" s="1"/>
      <c r="L14" s="1"/>
      <c r="M14" s="1"/>
      <c r="N14" s="1"/>
    </row>
    <row r="15" spans="1:14" ht="18.75" x14ac:dyDescent="0.3">
      <c r="A15" s="25">
        <f t="shared" si="6"/>
        <v>16000</v>
      </c>
      <c r="B15" s="27">
        <f>taxable_new!D6</f>
        <v>14248</v>
      </c>
      <c r="C15" s="26">
        <f t="shared" si="4"/>
        <v>0</v>
      </c>
      <c r="D15" s="25">
        <f t="shared" si="0"/>
        <v>0</v>
      </c>
      <c r="E15" s="27">
        <f>taxable_old!D6</f>
        <v>14248</v>
      </c>
      <c r="F15" s="5">
        <f t="shared" si="5"/>
        <v>0</v>
      </c>
      <c r="G15" s="25">
        <f t="shared" si="1"/>
        <v>0</v>
      </c>
      <c r="H15" s="23">
        <f t="shared" si="7"/>
        <v>0</v>
      </c>
      <c r="I15" s="23">
        <f t="shared" si="8"/>
        <v>0</v>
      </c>
      <c r="K15" s="1"/>
      <c r="L15" s="1"/>
      <c r="M15" s="1"/>
      <c r="N15" s="1"/>
    </row>
    <row r="16" spans="1:14" ht="18.75" x14ac:dyDescent="0.3">
      <c r="A16" s="25">
        <f t="shared" si="6"/>
        <v>20000</v>
      </c>
      <c r="B16" s="27">
        <f>taxable_new!D7</f>
        <v>17810</v>
      </c>
      <c r="C16" s="26">
        <f t="shared" si="4"/>
        <v>0</v>
      </c>
      <c r="D16" s="25">
        <f t="shared" si="0"/>
        <v>0</v>
      </c>
      <c r="E16" s="27">
        <f>taxable_old!D7</f>
        <v>17810</v>
      </c>
      <c r="F16" s="5">
        <f t="shared" si="5"/>
        <v>0</v>
      </c>
      <c r="G16" s="25">
        <f t="shared" si="1"/>
        <v>0</v>
      </c>
      <c r="H16" s="24">
        <f t="shared" si="7"/>
        <v>0</v>
      </c>
      <c r="I16" s="23">
        <f t="shared" si="8"/>
        <v>0</v>
      </c>
      <c r="K16" s="1"/>
      <c r="L16" s="1"/>
      <c r="M16" s="1"/>
      <c r="N16" s="1"/>
    </row>
    <row r="17" spans="1:15" ht="18.75" x14ac:dyDescent="0.3">
      <c r="A17" s="25">
        <f t="shared" si="6"/>
        <v>24000</v>
      </c>
      <c r="B17" s="27">
        <f>taxable_new!D8</f>
        <v>21372</v>
      </c>
      <c r="C17" s="26">
        <f t="shared" si="4"/>
        <v>0</v>
      </c>
      <c r="D17" s="25">
        <f t="shared" si="0"/>
        <v>0</v>
      </c>
      <c r="E17" s="27">
        <f>taxable_old!D8</f>
        <v>21372</v>
      </c>
      <c r="F17" s="5">
        <f t="shared" si="5"/>
        <v>1.7518248175182483E-2</v>
      </c>
      <c r="G17" s="25">
        <f t="shared" si="1"/>
        <v>420.43795620437959</v>
      </c>
      <c r="H17" s="24">
        <f t="shared" si="7"/>
        <v>1.7518248175182483E-2</v>
      </c>
      <c r="I17" s="23">
        <f t="shared" si="8"/>
        <v>420.43795620437959</v>
      </c>
      <c r="K17" s="1"/>
      <c r="L17" s="1"/>
      <c r="M17" s="1"/>
      <c r="N17" s="1"/>
    </row>
    <row r="18" spans="1:15" ht="18.75" x14ac:dyDescent="0.3">
      <c r="A18" s="25">
        <f t="shared" si="6"/>
        <v>28000</v>
      </c>
      <c r="B18" s="27">
        <f>taxable_new!D9</f>
        <v>24934</v>
      </c>
      <c r="C18" s="26">
        <f t="shared" si="4"/>
        <v>0</v>
      </c>
      <c r="D18" s="25">
        <f t="shared" si="0"/>
        <v>0</v>
      </c>
      <c r="E18" s="27">
        <f>taxable_old!D9</f>
        <v>24934</v>
      </c>
      <c r="F18" s="5">
        <f t="shared" si="5"/>
        <v>4.3587069864442128E-2</v>
      </c>
      <c r="G18" s="25">
        <f t="shared" si="1"/>
        <v>1220.4379562043796</v>
      </c>
      <c r="H18" s="24">
        <f t="shared" si="7"/>
        <v>4.3587069864442128E-2</v>
      </c>
      <c r="I18" s="23">
        <f t="shared" si="8"/>
        <v>1220.4379562043796</v>
      </c>
      <c r="K18" s="1"/>
      <c r="L18" s="1"/>
      <c r="M18" s="1"/>
      <c r="N18" s="1"/>
    </row>
    <row r="19" spans="1:15" ht="18.75" x14ac:dyDescent="0.3">
      <c r="A19" s="25">
        <f t="shared" si="6"/>
        <v>32000</v>
      </c>
      <c r="B19" s="27">
        <f>taxable_new!D10</f>
        <v>28496</v>
      </c>
      <c r="C19" s="26">
        <f t="shared" si="4"/>
        <v>3.6805165637282457E-2</v>
      </c>
      <c r="D19" s="25">
        <f t="shared" si="0"/>
        <v>1177.7653003930386</v>
      </c>
      <c r="E19" s="27">
        <f>taxable_old!D10</f>
        <v>28496</v>
      </c>
      <c r="F19" s="5">
        <f t="shared" si="5"/>
        <v>6.4008949501684453E-2</v>
      </c>
      <c r="G19" s="25">
        <f t="shared" si="1"/>
        <v>2048.2863840539026</v>
      </c>
      <c r="H19" s="24">
        <f t="shared" si="7"/>
        <v>2.7203783864401997E-2</v>
      </c>
      <c r="I19" s="23">
        <f t="shared" si="8"/>
        <v>870.52108366086395</v>
      </c>
      <c r="K19" s="1"/>
      <c r="L19" s="1"/>
      <c r="M19" s="1"/>
      <c r="N19" s="1"/>
    </row>
    <row r="20" spans="1:15" ht="18.75" x14ac:dyDescent="0.3">
      <c r="A20" s="25">
        <f t="shared" si="6"/>
        <v>36000</v>
      </c>
      <c r="B20" s="27">
        <f>taxable_new!D11</f>
        <v>32058</v>
      </c>
      <c r="C20" s="26">
        <f t="shared" si="4"/>
        <v>6.6049036122028851E-2</v>
      </c>
      <c r="D20" s="25">
        <f t="shared" si="0"/>
        <v>2377.7653003930386</v>
      </c>
      <c r="E20" s="27">
        <f>taxable_old!D11</f>
        <v>32058</v>
      </c>
      <c r="F20" s="5">
        <f t="shared" si="5"/>
        <v>8.4674621779275067E-2</v>
      </c>
      <c r="G20" s="25">
        <f t="shared" si="1"/>
        <v>3048.2863840539026</v>
      </c>
      <c r="H20" s="24">
        <f t="shared" si="7"/>
        <v>1.8625585657246216E-2</v>
      </c>
      <c r="I20" s="23">
        <f t="shared" si="8"/>
        <v>670.52108366086395</v>
      </c>
      <c r="K20" s="1"/>
      <c r="L20" s="1"/>
      <c r="M20" s="1"/>
      <c r="N20" s="1"/>
    </row>
    <row r="21" spans="1:15" ht="18.75" x14ac:dyDescent="0.3">
      <c r="A21" s="25">
        <f t="shared" si="6"/>
        <v>40000</v>
      </c>
      <c r="B21" s="27">
        <f>taxable_new!D12</f>
        <v>35620</v>
      </c>
      <c r="C21" s="26">
        <f t="shared" si="4"/>
        <v>9.2055025266704144E-2</v>
      </c>
      <c r="D21" s="25">
        <f t="shared" si="0"/>
        <v>3682.201010668166</v>
      </c>
      <c r="E21" s="27">
        <f>taxable_old!D12</f>
        <v>35620</v>
      </c>
      <c r="F21" s="5">
        <f t="shared" si="5"/>
        <v>0.10120715960134756</v>
      </c>
      <c r="G21" s="25">
        <f t="shared" si="1"/>
        <v>4048.2863840539026</v>
      </c>
      <c r="H21" s="24">
        <f t="shared" si="7"/>
        <v>9.1521343346434164E-3</v>
      </c>
      <c r="I21" s="23">
        <f t="shared" si="8"/>
        <v>366.0853733857366</v>
      </c>
      <c r="K21" s="1"/>
      <c r="L21" s="1"/>
      <c r="M21" s="1"/>
      <c r="N21" s="1"/>
    </row>
    <row r="22" spans="1:15" ht="18.75" x14ac:dyDescent="0.3">
      <c r="A22" s="25">
        <f t="shared" si="6"/>
        <v>44000</v>
      </c>
      <c r="B22" s="27">
        <f>taxable_new!D13</f>
        <v>39182</v>
      </c>
      <c r="C22" s="26">
        <f t="shared" si="4"/>
        <v>0.1245954775151856</v>
      </c>
      <c r="D22" s="25">
        <f t="shared" si="0"/>
        <v>5482.2010106681664</v>
      </c>
      <c r="E22" s="27">
        <f>taxable_old!D13</f>
        <v>39182</v>
      </c>
      <c r="F22" s="5">
        <f t="shared" si="5"/>
        <v>0.11841145487721468</v>
      </c>
      <c r="G22" s="25">
        <f t="shared" si="1"/>
        <v>5210.1040145974457</v>
      </c>
      <c r="H22" s="24">
        <f t="shared" si="7"/>
        <v>-6.1840226379709234E-3</v>
      </c>
      <c r="I22" s="23">
        <f t="shared" si="8"/>
        <v>-272.09699607072071</v>
      </c>
      <c r="K22" s="1"/>
      <c r="L22" s="1"/>
      <c r="M22" s="1"/>
      <c r="N22" s="1"/>
    </row>
    <row r="23" spans="1:15" ht="18.75" x14ac:dyDescent="0.3">
      <c r="A23" s="25">
        <f t="shared" si="6"/>
        <v>48000</v>
      </c>
      <c r="B23" s="27">
        <f>taxable_new!D14</f>
        <v>42744</v>
      </c>
      <c r="C23" s="26">
        <f t="shared" si="4"/>
        <v>0.1517125210555868</v>
      </c>
      <c r="D23" s="25">
        <f t="shared" si="0"/>
        <v>7282.2010106681664</v>
      </c>
      <c r="E23" s="27">
        <f>taxable_old!D14</f>
        <v>42744</v>
      </c>
      <c r="F23" s="5">
        <f t="shared" si="5"/>
        <v>0.13354383363744679</v>
      </c>
      <c r="G23" s="25">
        <f t="shared" si="1"/>
        <v>6410.1040145974457</v>
      </c>
      <c r="H23" s="24">
        <f t="shared" si="7"/>
        <v>-1.8168687418140012E-2</v>
      </c>
      <c r="I23" s="23">
        <f t="shared" si="8"/>
        <v>-872.09699607072071</v>
      </c>
      <c r="K23" s="1"/>
      <c r="L23" s="1"/>
      <c r="M23" s="1"/>
      <c r="N23" s="1"/>
    </row>
    <row r="24" spans="1:15" x14ac:dyDescent="0.25">
      <c r="A24" s="25">
        <f t="shared" si="6"/>
        <v>52000</v>
      </c>
      <c r="B24" s="27">
        <f>taxable_new!D15</f>
        <v>46306</v>
      </c>
      <c r="C24" s="26">
        <f t="shared" si="4"/>
        <v>0.17465771174361858</v>
      </c>
      <c r="D24" s="25">
        <f t="shared" si="0"/>
        <v>9082.2010106681664</v>
      </c>
      <c r="E24" s="27">
        <f>taxable_old!D15</f>
        <v>46306</v>
      </c>
      <c r="F24" s="5">
        <f t="shared" si="5"/>
        <v>0.14634815412687396</v>
      </c>
      <c r="G24" s="25">
        <f t="shared" si="1"/>
        <v>7610.1040145974457</v>
      </c>
      <c r="H24" s="24">
        <f t="shared" si="7"/>
        <v>-2.8309557616744613E-2</v>
      </c>
      <c r="I24" s="23">
        <f t="shared" si="8"/>
        <v>-1472.0969960707207</v>
      </c>
    </row>
    <row r="25" spans="1:15" ht="16.5" thickBot="1" x14ac:dyDescent="0.3">
      <c r="A25" s="25">
        <f t="shared" si="6"/>
        <v>56000</v>
      </c>
      <c r="B25" s="27">
        <f>taxable_new!D16</f>
        <v>50001.13</v>
      </c>
      <c r="C25" s="26">
        <f t="shared" si="4"/>
        <v>0.19432501804764582</v>
      </c>
      <c r="D25" s="25">
        <f t="shared" si="0"/>
        <v>10882.201010668166</v>
      </c>
      <c r="E25" s="27">
        <f>taxable_old!D16</f>
        <v>50001.13</v>
      </c>
      <c r="F25" s="5">
        <f t="shared" si="5"/>
        <v>0.15732328597495435</v>
      </c>
      <c r="G25" s="25">
        <f t="shared" si="1"/>
        <v>8810.1040145974439</v>
      </c>
      <c r="H25" s="24">
        <f t="shared" si="7"/>
        <v>-3.7001732072691473E-2</v>
      </c>
      <c r="I25" s="23">
        <f t="shared" si="8"/>
        <v>-2072.0969960707225</v>
      </c>
    </row>
    <row r="26" spans="1:15" ht="16.5" thickBot="1" x14ac:dyDescent="0.3">
      <c r="A26" s="25">
        <f t="shared" si="6"/>
        <v>60000</v>
      </c>
      <c r="B26" s="27">
        <f>taxable_new!D17</f>
        <v>53895.13</v>
      </c>
      <c r="C26" s="26">
        <f t="shared" si="4"/>
        <v>0.21137001684446943</v>
      </c>
      <c r="D26" s="25">
        <f t="shared" si="0"/>
        <v>12682.201010668166</v>
      </c>
      <c r="E26" s="27">
        <f>taxable_old!D17</f>
        <v>53895.13</v>
      </c>
      <c r="F26" s="5">
        <f t="shared" si="5"/>
        <v>0.16683506690995739</v>
      </c>
      <c r="G26" s="25">
        <f t="shared" si="1"/>
        <v>10010.104014597444</v>
      </c>
      <c r="H26" s="24">
        <f t="shared" si="7"/>
        <v>-4.4534949934512041E-2</v>
      </c>
      <c r="I26" s="23">
        <f t="shared" si="8"/>
        <v>-2672.0969960707225</v>
      </c>
      <c r="K26" s="111" t="s">
        <v>13</v>
      </c>
      <c r="L26" s="113">
        <f>budget_income!O4</f>
        <v>49999232.970408581</v>
      </c>
    </row>
    <row r="27" spans="1:15" ht="16.5" thickBot="1" x14ac:dyDescent="0.3">
      <c r="A27" s="25">
        <f t="shared" si="6"/>
        <v>64000</v>
      </c>
      <c r="B27" s="27">
        <f>taxable_new!D18</f>
        <v>57789.13</v>
      </c>
      <c r="C27" s="26">
        <f t="shared" si="4"/>
        <v>0.2262843907916901</v>
      </c>
      <c r="D27" s="25">
        <f t="shared" si="0"/>
        <v>14482.201010668166</v>
      </c>
      <c r="E27" s="27">
        <f>taxable_old!D18</f>
        <v>57789.13</v>
      </c>
      <c r="F27" s="5">
        <f t="shared" si="5"/>
        <v>0.17515787522808507</v>
      </c>
      <c r="G27" s="25">
        <f t="shared" si="1"/>
        <v>11210.104014597444</v>
      </c>
      <c r="H27" s="24">
        <f t="shared" si="7"/>
        <v>-5.1126515563605035E-2</v>
      </c>
      <c r="I27" s="23">
        <f t="shared" si="8"/>
        <v>-3272.0969960707225</v>
      </c>
    </row>
    <row r="28" spans="1:15" ht="16.5" thickBot="1" x14ac:dyDescent="0.3">
      <c r="A28" s="25">
        <f t="shared" si="6"/>
        <v>68000</v>
      </c>
      <c r="B28" s="27">
        <f>taxable_new!D19</f>
        <v>61683.13</v>
      </c>
      <c r="C28" s="26">
        <f t="shared" ref="C28:C33" si="9">D28/A28</f>
        <v>0.23944413250982596</v>
      </c>
      <c r="D28" s="25">
        <f t="shared" si="0"/>
        <v>16282.201010668166</v>
      </c>
      <c r="E28" s="27">
        <f>taxable_old!D19</f>
        <v>61683.13</v>
      </c>
      <c r="F28" s="5">
        <f t="shared" ref="F28:F33" si="10">G28/A28</f>
        <v>0.18377278683962073</v>
      </c>
      <c r="G28" s="25">
        <f t="shared" si="1"/>
        <v>12496.54950509421</v>
      </c>
      <c r="H28" s="24">
        <f t="shared" si="7"/>
        <v>-5.5671345670205236E-2</v>
      </c>
      <c r="I28" s="23">
        <f t="shared" si="8"/>
        <v>-3785.6515055739565</v>
      </c>
      <c r="K28" s="111" t="s">
        <v>88</v>
      </c>
      <c r="L28" s="112">
        <v>33691.184727664535</v>
      </c>
      <c r="M28" s="114">
        <v>39303.79562268388</v>
      </c>
      <c r="N28" s="114">
        <v>32000</v>
      </c>
      <c r="O28" s="114">
        <v>30000</v>
      </c>
    </row>
    <row r="29" spans="1:15" ht="16.5" thickBot="1" x14ac:dyDescent="0.3">
      <c r="A29" s="25">
        <f t="shared" si="6"/>
        <v>72000</v>
      </c>
      <c r="B29" s="27">
        <f>taxable_new!D20</f>
        <v>65577.13</v>
      </c>
      <c r="C29" s="26">
        <f t="shared" si="9"/>
        <v>0.25114168070372456</v>
      </c>
      <c r="D29" s="25">
        <f t="shared" si="0"/>
        <v>18082.201010668166</v>
      </c>
      <c r="E29" s="27">
        <f>taxable_old!D20</f>
        <v>65577.13</v>
      </c>
      <c r="F29" s="5">
        <f t="shared" si="10"/>
        <v>0.19300763201519736</v>
      </c>
      <c r="G29" s="25">
        <f t="shared" si="1"/>
        <v>13896.54950509421</v>
      </c>
      <c r="H29" s="24">
        <f t="shared" si="7"/>
        <v>-5.8134048688527201E-2</v>
      </c>
      <c r="I29" s="23">
        <f t="shared" si="8"/>
        <v>-4185.6515055739565</v>
      </c>
      <c r="K29" s="111" t="s">
        <v>34</v>
      </c>
      <c r="L29" s="112">
        <v>30000</v>
      </c>
      <c r="M29" s="114">
        <v>35000.030001999992</v>
      </c>
      <c r="N29" s="114">
        <v>28496</v>
      </c>
      <c r="O29" s="114">
        <v>26715</v>
      </c>
    </row>
    <row r="30" spans="1:15" x14ac:dyDescent="0.25">
      <c r="A30" s="25">
        <f t="shared" si="6"/>
        <v>76000</v>
      </c>
      <c r="B30" s="27">
        <f>taxable_new!D21</f>
        <v>69471.13</v>
      </c>
      <c r="C30" s="26">
        <f t="shared" si="9"/>
        <v>0.26160790803510747</v>
      </c>
      <c r="D30" s="25">
        <f t="shared" si="0"/>
        <v>19882.201010668166</v>
      </c>
      <c r="E30" s="27">
        <f>taxable_old!D21</f>
        <v>69471.13</v>
      </c>
      <c r="F30" s="5">
        <f t="shared" si="10"/>
        <v>0.20127038822492382</v>
      </c>
      <c r="G30" s="25">
        <f t="shared" si="1"/>
        <v>15296.54950509421</v>
      </c>
      <c r="H30" s="24">
        <f t="shared" si="7"/>
        <v>-6.0337519810183649E-2</v>
      </c>
      <c r="I30" s="23">
        <f t="shared" si="8"/>
        <v>-4585.6515055739565</v>
      </c>
    </row>
    <row r="31" spans="1:15" x14ac:dyDescent="0.25">
      <c r="A31" s="25">
        <f t="shared" si="6"/>
        <v>80000</v>
      </c>
      <c r="B31" s="27">
        <f>taxable_new!D22</f>
        <v>73365.13</v>
      </c>
      <c r="C31" s="26">
        <f t="shared" si="9"/>
        <v>0.27102751263335206</v>
      </c>
      <c r="D31" s="25">
        <f t="shared" si="0"/>
        <v>21682.201010668166</v>
      </c>
      <c r="E31" s="27">
        <f>taxable_old!D22</f>
        <v>73365.13</v>
      </c>
      <c r="F31" s="5">
        <f t="shared" si="10"/>
        <v>0.20870686881367762</v>
      </c>
      <c r="G31" s="25">
        <f t="shared" si="1"/>
        <v>16696.549505094208</v>
      </c>
      <c r="H31" s="24">
        <f t="shared" si="7"/>
        <v>-6.2320643819674448E-2</v>
      </c>
      <c r="I31" s="23">
        <f t="shared" si="8"/>
        <v>-4985.6515055739583</v>
      </c>
    </row>
    <row r="32" spans="1:15" x14ac:dyDescent="0.25">
      <c r="A32" s="25">
        <f t="shared" si="6"/>
        <v>84000</v>
      </c>
      <c r="B32" s="27">
        <f>taxable_new!D23</f>
        <v>77259.13</v>
      </c>
      <c r="C32" s="26">
        <f t="shared" si="9"/>
        <v>0.27955001203176388</v>
      </c>
      <c r="D32" s="25">
        <f t="shared" si="0"/>
        <v>23482.201010668166</v>
      </c>
      <c r="E32" s="27">
        <f>taxable_old!D23</f>
        <v>77259.13</v>
      </c>
      <c r="F32" s="5">
        <f t="shared" si="10"/>
        <v>0.21543511315588343</v>
      </c>
      <c r="G32" s="25">
        <f t="shared" si="1"/>
        <v>18096.549505094208</v>
      </c>
      <c r="H32" s="24">
        <f t="shared" si="7"/>
        <v>-6.4114898875880455E-2</v>
      </c>
      <c r="I32" s="23">
        <f t="shared" si="8"/>
        <v>-5385.6515055739583</v>
      </c>
    </row>
    <row r="33" spans="1:12" x14ac:dyDescent="0.25">
      <c r="A33" s="25">
        <f t="shared" si="6"/>
        <v>88000</v>
      </c>
      <c r="B33" s="27">
        <f>taxable_new!D24</f>
        <v>81153.13</v>
      </c>
      <c r="C33" s="26">
        <f t="shared" si="9"/>
        <v>0.28729773875759279</v>
      </c>
      <c r="D33" s="25">
        <f t="shared" si="0"/>
        <v>25282.201010668166</v>
      </c>
      <c r="E33" s="27">
        <f>taxable_old!D24</f>
        <v>81153.13</v>
      </c>
      <c r="F33" s="5">
        <f t="shared" si="10"/>
        <v>0.2215516989215251</v>
      </c>
      <c r="G33" s="25">
        <f t="shared" si="1"/>
        <v>19496.549505094208</v>
      </c>
      <c r="H33" s="24">
        <f t="shared" si="7"/>
        <v>-6.5746039836067693E-2</v>
      </c>
      <c r="I33" s="23">
        <f t="shared" si="8"/>
        <v>-5785.6515055739583</v>
      </c>
    </row>
    <row r="34" spans="1:12" x14ac:dyDescent="0.25">
      <c r="A34" s="25">
        <f t="shared" si="6"/>
        <v>92000</v>
      </c>
      <c r="B34" s="27">
        <f>taxable_new!D25</f>
        <v>85047.13</v>
      </c>
      <c r="C34" s="26">
        <f t="shared" ref="C34" si="11">D34/A34</f>
        <v>0.29437175011595834</v>
      </c>
      <c r="D34" s="25">
        <f t="shared" si="0"/>
        <v>27082.201010668166</v>
      </c>
      <c r="E34" s="27">
        <f>taxable_old!D25</f>
        <v>85047.13</v>
      </c>
      <c r="F34" s="5">
        <f t="shared" ref="F34" si="12">G34/A34</f>
        <v>0.22713640766406748</v>
      </c>
      <c r="G34" s="25">
        <f t="shared" si="1"/>
        <v>20896.549505094208</v>
      </c>
      <c r="H34" s="24">
        <f t="shared" ref="H34" si="13">F34-C34</f>
        <v>-6.7235342451890862E-2</v>
      </c>
      <c r="I34" s="23">
        <f t="shared" ref="I34" si="14">G34-D34</f>
        <v>-6185.6515055739583</v>
      </c>
    </row>
    <row r="35" spans="1:12" x14ac:dyDescent="0.25">
      <c r="A35" s="25">
        <f t="shared" si="6"/>
        <v>96000</v>
      </c>
      <c r="B35" s="27">
        <f>taxable_new!D26</f>
        <v>88941.13</v>
      </c>
      <c r="C35" s="26">
        <f t="shared" ref="C35:C46" si="15">D35/A35</f>
        <v>0.30085626052779341</v>
      </c>
      <c r="D35" s="25">
        <f t="shared" si="0"/>
        <v>28882.201010668166</v>
      </c>
      <c r="E35" s="27">
        <f>taxable_old!D26</f>
        <v>88941.13</v>
      </c>
      <c r="F35" s="5">
        <f t="shared" ref="F35:F46" si="16">G35/A35</f>
        <v>0.23225572401139799</v>
      </c>
      <c r="G35" s="25">
        <f t="shared" si="1"/>
        <v>22296.549505094208</v>
      </c>
      <c r="H35" s="24">
        <f t="shared" ref="H35:H46" si="17">F35-C35</f>
        <v>-6.8600536516395416E-2</v>
      </c>
      <c r="I35" s="23">
        <f t="shared" ref="I35:I46" si="18">G35-D35</f>
        <v>-6585.6515055739583</v>
      </c>
    </row>
    <row r="36" spans="1:12" x14ac:dyDescent="0.25">
      <c r="A36" s="25">
        <f t="shared" si="6"/>
        <v>100000</v>
      </c>
      <c r="B36" s="27">
        <f>taxable_new!D27</f>
        <v>92835.13</v>
      </c>
      <c r="C36" s="26">
        <f t="shared" si="15"/>
        <v>0.30682201010668164</v>
      </c>
      <c r="D36" s="25">
        <f t="shared" si="0"/>
        <v>30682.201010668166</v>
      </c>
      <c r="E36" s="27">
        <f>taxable_old!D27</f>
        <v>92835.13</v>
      </c>
      <c r="F36" s="5">
        <f t="shared" si="16"/>
        <v>0.23696549505094208</v>
      </c>
      <c r="G36" s="25">
        <f t="shared" si="1"/>
        <v>23696.549505094208</v>
      </c>
      <c r="H36" s="24">
        <f t="shared" si="17"/>
        <v>-6.985651505573956E-2</v>
      </c>
      <c r="I36" s="23">
        <f t="shared" si="18"/>
        <v>-6985.6515055739583</v>
      </c>
    </row>
    <row r="37" spans="1:12" x14ac:dyDescent="0.25">
      <c r="A37" s="25">
        <f t="shared" si="6"/>
        <v>104000</v>
      </c>
      <c r="B37" s="27">
        <f>taxable_new!D28</f>
        <v>96729.13</v>
      </c>
      <c r="C37" s="26">
        <f t="shared" si="15"/>
        <v>0.31232885587180931</v>
      </c>
      <c r="D37" s="25">
        <f t="shared" si="0"/>
        <v>32482.201010668166</v>
      </c>
      <c r="E37" s="27">
        <f>taxable_old!D28</f>
        <v>96729.13</v>
      </c>
      <c r="F37" s="5">
        <f t="shared" si="16"/>
        <v>0.24131297601052124</v>
      </c>
      <c r="G37" s="25">
        <f t="shared" si="1"/>
        <v>25096.549505094208</v>
      </c>
      <c r="H37" s="24">
        <f t="shared" si="17"/>
        <v>-7.1015879861288073E-2</v>
      </c>
      <c r="I37" s="23">
        <f t="shared" si="18"/>
        <v>-7385.6515055739583</v>
      </c>
    </row>
    <row r="38" spans="1:12" x14ac:dyDescent="0.25">
      <c r="A38" s="25">
        <f t="shared" si="6"/>
        <v>108000</v>
      </c>
      <c r="B38" s="27">
        <f>taxable_new!D29</f>
        <v>100623.13</v>
      </c>
      <c r="C38" s="26">
        <f t="shared" si="15"/>
        <v>0.31742778713581637</v>
      </c>
      <c r="D38" s="25">
        <f t="shared" si="0"/>
        <v>34282.20101066817</v>
      </c>
      <c r="E38" s="27">
        <f>taxable_old!D29</f>
        <v>100623.13</v>
      </c>
      <c r="F38" s="5">
        <f t="shared" si="16"/>
        <v>0.2453384213434649</v>
      </c>
      <c r="G38" s="25">
        <f t="shared" si="1"/>
        <v>26496.549505094208</v>
      </c>
      <c r="H38" s="24">
        <f t="shared" si="17"/>
        <v>-7.2089365792351479E-2</v>
      </c>
      <c r="I38" s="23">
        <f t="shared" si="18"/>
        <v>-7785.6515055739619</v>
      </c>
      <c r="L38" s="12"/>
    </row>
    <row r="39" spans="1:12" x14ac:dyDescent="0.25">
      <c r="A39" s="25">
        <f t="shared" si="6"/>
        <v>112000</v>
      </c>
      <c r="B39" s="27">
        <f>taxable_new!D30</f>
        <v>104517.13</v>
      </c>
      <c r="C39" s="26">
        <f t="shared" si="15"/>
        <v>0.32216250902382293</v>
      </c>
      <c r="D39" s="25">
        <f t="shared" si="0"/>
        <v>36082.20101066817</v>
      </c>
      <c r="E39" s="27">
        <f>taxable_old!D30</f>
        <v>104517.13</v>
      </c>
      <c r="F39" s="5">
        <f t="shared" si="16"/>
        <v>0.24907633486691258</v>
      </c>
      <c r="G39" s="25">
        <f t="shared" si="1"/>
        <v>27896.549505094208</v>
      </c>
      <c r="H39" s="24">
        <f t="shared" si="17"/>
        <v>-7.308617415691035E-2</v>
      </c>
      <c r="I39" s="23">
        <f t="shared" si="18"/>
        <v>-8185.6515055739619</v>
      </c>
    </row>
    <row r="40" spans="1:12" x14ac:dyDescent="0.25">
      <c r="A40" s="25">
        <f t="shared" si="6"/>
        <v>116000</v>
      </c>
      <c r="B40" s="27">
        <f>taxable_new!D31</f>
        <v>108411.13</v>
      </c>
      <c r="C40" s="26">
        <f t="shared" si="15"/>
        <v>0.32657069836782904</v>
      </c>
      <c r="D40" s="25">
        <f t="shared" si="0"/>
        <v>37882.20101066817</v>
      </c>
      <c r="E40" s="27">
        <f>taxable_old!D31</f>
        <v>108411.13</v>
      </c>
      <c r="F40" s="5">
        <f t="shared" si="16"/>
        <v>0.25255646125081216</v>
      </c>
      <c r="G40" s="25">
        <f t="shared" si="1"/>
        <v>29296.549505094208</v>
      </c>
      <c r="H40" s="24">
        <f t="shared" si="17"/>
        <v>-7.4014237117016879E-2</v>
      </c>
      <c r="I40" s="23">
        <f t="shared" si="18"/>
        <v>-8585.6515055739619</v>
      </c>
    </row>
    <row r="41" spans="1:12" x14ac:dyDescent="0.25">
      <c r="A41" s="25">
        <f t="shared" si="6"/>
        <v>120000</v>
      </c>
      <c r="B41" s="27">
        <f>taxable_new!D32</f>
        <v>112305.13</v>
      </c>
      <c r="C41" s="26">
        <f t="shared" si="15"/>
        <v>0.33068500842223475</v>
      </c>
      <c r="D41" s="25">
        <f t="shared" si="0"/>
        <v>39682.20101066817</v>
      </c>
      <c r="E41" s="27">
        <f>taxable_old!D32</f>
        <v>112305.13</v>
      </c>
      <c r="F41" s="5">
        <f t="shared" si="16"/>
        <v>0.25580457920911842</v>
      </c>
      <c r="G41" s="25">
        <f t="shared" si="1"/>
        <v>30696.549505094208</v>
      </c>
      <c r="H41" s="24">
        <f t="shared" si="17"/>
        <v>-7.4880429213116328E-2</v>
      </c>
      <c r="I41" s="23">
        <f t="shared" si="18"/>
        <v>-8985.6515055739619</v>
      </c>
    </row>
    <row r="42" spans="1:12" x14ac:dyDescent="0.25">
      <c r="A42" s="25">
        <f t="shared" si="6"/>
        <v>124000</v>
      </c>
      <c r="B42" s="27">
        <f>taxable_new!D33</f>
        <v>116199.13</v>
      </c>
      <c r="C42" s="26">
        <f t="shared" si="15"/>
        <v>0.33453387911829169</v>
      </c>
      <c r="D42" s="25">
        <f t="shared" si="0"/>
        <v>41482.20101066817</v>
      </c>
      <c r="E42" s="27">
        <f>taxable_old!D33</f>
        <v>116199.13</v>
      </c>
      <c r="F42" s="5">
        <f t="shared" si="16"/>
        <v>0.25884314117011459</v>
      </c>
      <c r="G42" s="25">
        <f t="shared" si="1"/>
        <v>32096.549505094208</v>
      </c>
      <c r="H42" s="24">
        <f t="shared" si="17"/>
        <v>-7.56907379481771E-2</v>
      </c>
      <c r="I42" s="23">
        <f t="shared" si="18"/>
        <v>-9385.6515055739619</v>
      </c>
    </row>
    <row r="43" spans="1:12" x14ac:dyDescent="0.25">
      <c r="A43" s="25">
        <f t="shared" si="6"/>
        <v>128000</v>
      </c>
      <c r="B43" s="27">
        <f>taxable_new!D34</f>
        <v>120093.13</v>
      </c>
      <c r="C43" s="26">
        <f t="shared" si="15"/>
        <v>0.33814219539584506</v>
      </c>
      <c r="D43" s="25">
        <f t="shared" si="0"/>
        <v>43282.20101066817</v>
      </c>
      <c r="E43" s="27">
        <f>taxable_old!D34</f>
        <v>120093.13</v>
      </c>
      <c r="F43" s="5">
        <f t="shared" si="16"/>
        <v>0.26169179300854856</v>
      </c>
      <c r="G43" s="25">
        <f t="shared" si="1"/>
        <v>33496.549505094212</v>
      </c>
      <c r="H43" s="24">
        <f t="shared" si="17"/>
        <v>-7.6450402387296501E-2</v>
      </c>
      <c r="I43" s="23">
        <f t="shared" si="18"/>
        <v>-9785.6515055739583</v>
      </c>
    </row>
    <row r="44" spans="1:12" x14ac:dyDescent="0.25">
      <c r="A44" s="25">
        <f t="shared" si="6"/>
        <v>132000</v>
      </c>
      <c r="B44" s="27">
        <f>taxable_new!D35</f>
        <v>123987.13</v>
      </c>
      <c r="C44" s="26">
        <f t="shared" si="15"/>
        <v>0.34153182583839525</v>
      </c>
      <c r="D44" s="25">
        <f t="shared" si="0"/>
        <v>45082.20101066817</v>
      </c>
      <c r="E44" s="27">
        <f>taxable_old!D35</f>
        <v>123987.13</v>
      </c>
      <c r="F44" s="5">
        <f t="shared" si="16"/>
        <v>0.26436779928101678</v>
      </c>
      <c r="G44" s="25">
        <f t="shared" si="1"/>
        <v>34896.549505094212</v>
      </c>
      <c r="H44" s="24">
        <f t="shared" si="17"/>
        <v>-7.7164026557378473E-2</v>
      </c>
      <c r="I44" s="23">
        <f t="shared" si="18"/>
        <v>-10185.651505573958</v>
      </c>
    </row>
    <row r="45" spans="1:12" x14ac:dyDescent="0.25">
      <c r="A45" s="25">
        <f t="shared" si="6"/>
        <v>136000</v>
      </c>
      <c r="B45" s="27">
        <f>taxable_new!D36</f>
        <v>127881.13</v>
      </c>
      <c r="C45" s="26">
        <f t="shared" si="15"/>
        <v>0.34472206625491303</v>
      </c>
      <c r="D45" s="25">
        <f t="shared" si="0"/>
        <v>46882.20101066817</v>
      </c>
      <c r="E45" s="27">
        <f>taxable_old!D36</f>
        <v>127881.13</v>
      </c>
      <c r="F45" s="5">
        <f t="shared" si="16"/>
        <v>0.26688639341981041</v>
      </c>
      <c r="G45" s="25">
        <f t="shared" si="1"/>
        <v>36296.549505094212</v>
      </c>
      <c r="H45" s="24">
        <f t="shared" si="17"/>
        <v>-7.7835672835102621E-2</v>
      </c>
      <c r="I45" s="23">
        <f t="shared" si="18"/>
        <v>-10585.651505573958</v>
      </c>
    </row>
    <row r="46" spans="1:12" x14ac:dyDescent="0.25">
      <c r="A46" s="25">
        <f t="shared" si="6"/>
        <v>140000</v>
      </c>
      <c r="B46" s="27">
        <f>taxable_new!D37</f>
        <v>131775.13</v>
      </c>
      <c r="C46" s="26">
        <f t="shared" si="15"/>
        <v>0.34773000721905833</v>
      </c>
      <c r="D46" s="25">
        <f t="shared" si="0"/>
        <v>48682.20101066817</v>
      </c>
      <c r="E46" s="27">
        <f>taxable_old!D37</f>
        <v>131775.13</v>
      </c>
      <c r="F46" s="5">
        <f t="shared" si="16"/>
        <v>0.2692610678935301</v>
      </c>
      <c r="G46" s="25">
        <f t="shared" si="1"/>
        <v>37696.549505094212</v>
      </c>
      <c r="H46" s="24">
        <f t="shared" si="17"/>
        <v>-7.8468939325528231E-2</v>
      </c>
      <c r="I46" s="23">
        <f t="shared" si="18"/>
        <v>-10985.651505573958</v>
      </c>
    </row>
  </sheetData>
  <mergeCells count="3">
    <mergeCell ref="H9:I9"/>
    <mergeCell ref="A1:C1"/>
    <mergeCell ref="D1:F1"/>
  </mergeCells>
  <conditionalFormatting sqref="H11:I46">
    <cfRule type="cellIs" dxfId="25" priority="1" operator="greaterThan">
      <formula>0</formula>
    </cfRule>
    <cfRule type="cellIs" dxfId="24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3634-EDCD-439D-8FC1-E3D039B88664}">
  <sheetPr>
    <tabColor theme="6"/>
  </sheetPr>
  <dimension ref="A1:P56"/>
  <sheetViews>
    <sheetView topLeftCell="A13" workbookViewId="0">
      <selection activeCell="C28" sqref="C28"/>
    </sheetView>
  </sheetViews>
  <sheetFormatPr defaultRowHeight="15" x14ac:dyDescent="0.25"/>
  <cols>
    <col min="1" max="1" width="14.7109375" bestFit="1" customWidth="1"/>
    <col min="2" max="2" width="12" bestFit="1" customWidth="1"/>
    <col min="3" max="3" width="20.5703125" style="40" bestFit="1" customWidth="1"/>
    <col min="4" max="4" width="14" bestFit="1" customWidth="1"/>
    <col min="5" max="5" width="8.7109375" bestFit="1" customWidth="1"/>
    <col min="6" max="6" width="22.140625" customWidth="1"/>
    <col min="7" max="7" width="19.42578125" bestFit="1" customWidth="1"/>
    <col min="8" max="8" width="8.140625" bestFit="1" customWidth="1"/>
    <col min="9" max="9" width="16.42578125" bestFit="1" customWidth="1"/>
    <col min="10" max="10" width="23.42578125" bestFit="1" customWidth="1"/>
    <col min="11" max="14" width="13.42578125" bestFit="1" customWidth="1"/>
    <col min="15" max="15" width="4.5703125" bestFit="1" customWidth="1"/>
    <col min="16" max="16" width="5.140625" bestFit="1" customWidth="1"/>
    <col min="17" max="18" width="27" bestFit="1" customWidth="1"/>
  </cols>
  <sheetData>
    <row r="1" spans="1:9" ht="15.75" thickBot="1" x14ac:dyDescent="0.3">
      <c r="A1" s="251" t="s">
        <v>138</v>
      </c>
      <c r="B1" s="253"/>
      <c r="C1" s="253"/>
      <c r="D1" s="253"/>
      <c r="E1" s="253"/>
      <c r="F1" s="253"/>
      <c r="G1" s="252"/>
      <c r="H1" s="13"/>
      <c r="I1" s="13"/>
    </row>
    <row r="2" spans="1:9" ht="15.75" thickBot="1" x14ac:dyDescent="0.3">
      <c r="A2" s="154" t="s">
        <v>139</v>
      </c>
      <c r="B2" s="154" t="s">
        <v>140</v>
      </c>
      <c r="C2" s="154" t="s">
        <v>141</v>
      </c>
      <c r="D2" s="154" t="s">
        <v>142</v>
      </c>
      <c r="E2" s="154" t="s">
        <v>23</v>
      </c>
      <c r="F2" s="154" t="s">
        <v>10</v>
      </c>
      <c r="G2" s="154" t="s">
        <v>81</v>
      </c>
      <c r="H2" s="13"/>
    </row>
    <row r="3" spans="1:9" x14ac:dyDescent="0.25">
      <c r="A3" s="109">
        <v>0</v>
      </c>
      <c r="B3" s="177">
        <f>A4</f>
        <v>40000</v>
      </c>
      <c r="C3" s="120">
        <v>0.06</v>
      </c>
      <c r="D3" s="194">
        <f>C3</f>
        <v>0.06</v>
      </c>
      <c r="E3" s="120">
        <f>F3</f>
        <v>5.4854207401542412E-2</v>
      </c>
      <c r="F3" s="120">
        <f t="shared" ref="F3:F9" si="0">_xlfn.LOGNORM.DIST(B3,F$10,F$11,TRUE)</f>
        <v>5.4854207401542412E-2</v>
      </c>
      <c r="G3" s="195">
        <f t="shared" ref="G3:G9" si="1">(D3-F3)^2</f>
        <v>2.6479181466340867E-5</v>
      </c>
      <c r="H3" s="13"/>
    </row>
    <row r="4" spans="1:9" x14ac:dyDescent="0.25">
      <c r="A4" s="56">
        <v>40000</v>
      </c>
      <c r="B4" s="118">
        <f t="shared" ref="B4:B9" si="2">A5</f>
        <v>120000</v>
      </c>
      <c r="C4" s="121">
        <v>0.08</v>
      </c>
      <c r="D4" s="196">
        <f>D3+C4</f>
        <v>0.14000000000000001</v>
      </c>
      <c r="E4" s="121">
        <f>F4-F3</f>
        <v>0.11758517323084765</v>
      </c>
      <c r="F4" s="121">
        <f t="shared" si="0"/>
        <v>0.17243938063239006</v>
      </c>
      <c r="G4" s="195">
        <f t="shared" si="1"/>
        <v>1.0523134158130826E-3</v>
      </c>
      <c r="H4" s="13"/>
    </row>
    <row r="5" spans="1:9" x14ac:dyDescent="0.25">
      <c r="A5" s="56">
        <v>120000</v>
      </c>
      <c r="B5" s="118">
        <f t="shared" si="2"/>
        <v>170000</v>
      </c>
      <c r="C5" s="121">
        <v>0.09</v>
      </c>
      <c r="D5" s="196">
        <f t="shared" ref="D5:D9" si="3">D4+C5</f>
        <v>0.23</v>
      </c>
      <c r="E5" s="121">
        <f t="shared" ref="E5:E9" si="4">F5-F4</f>
        <v>5.8143995417069716E-2</v>
      </c>
      <c r="F5" s="121">
        <f t="shared" si="0"/>
        <v>0.23058337604945978</v>
      </c>
      <c r="G5" s="195">
        <f t="shared" si="1"/>
        <v>3.4032761508328357E-7</v>
      </c>
      <c r="H5" s="13"/>
    </row>
    <row r="6" spans="1:9" x14ac:dyDescent="0.25">
      <c r="A6" s="56">
        <v>170000</v>
      </c>
      <c r="B6" s="118">
        <f t="shared" si="2"/>
        <v>300000</v>
      </c>
      <c r="C6" s="121">
        <v>0.11</v>
      </c>
      <c r="D6" s="196">
        <f t="shared" si="3"/>
        <v>0.34</v>
      </c>
      <c r="E6" s="121">
        <f t="shared" si="4"/>
        <v>0.11461218634928078</v>
      </c>
      <c r="F6" s="121">
        <f t="shared" si="0"/>
        <v>0.34519556239874055</v>
      </c>
      <c r="G6" s="195">
        <f t="shared" si="1"/>
        <v>2.6993868639206426E-5</v>
      </c>
      <c r="H6" s="13"/>
    </row>
    <row r="7" spans="1:9" x14ac:dyDescent="0.25">
      <c r="A7" s="56">
        <v>300000</v>
      </c>
      <c r="B7" s="118">
        <f t="shared" si="2"/>
        <v>500000</v>
      </c>
      <c r="C7" s="121">
        <v>0.13</v>
      </c>
      <c r="D7" s="196">
        <f t="shared" si="3"/>
        <v>0.47000000000000003</v>
      </c>
      <c r="E7" s="121">
        <f t="shared" si="4"/>
        <v>0.11743981657375901</v>
      </c>
      <c r="F7" s="121">
        <f t="shared" si="0"/>
        <v>0.46263537897249957</v>
      </c>
      <c r="G7" s="195">
        <f t="shared" si="1"/>
        <v>5.4237642878701963E-5</v>
      </c>
      <c r="H7" s="13"/>
    </row>
    <row r="8" spans="1:9" x14ac:dyDescent="0.25">
      <c r="A8" s="56">
        <v>500000</v>
      </c>
      <c r="B8" s="118">
        <f t="shared" si="2"/>
        <v>800000</v>
      </c>
      <c r="C8" s="121">
        <v>0.15</v>
      </c>
      <c r="D8" s="196">
        <f t="shared" si="3"/>
        <v>0.62</v>
      </c>
      <c r="E8" s="121">
        <f t="shared" si="4"/>
        <v>0.11129720889796363</v>
      </c>
      <c r="F8" s="121">
        <f t="shared" si="0"/>
        <v>0.5739325878704632</v>
      </c>
      <c r="G8" s="195">
        <f t="shared" si="1"/>
        <v>2.1222064603125942E-3</v>
      </c>
      <c r="H8" s="13"/>
    </row>
    <row r="9" spans="1:9" ht="15.75" thickBot="1" x14ac:dyDescent="0.3">
      <c r="A9" s="56">
        <v>800000</v>
      </c>
      <c r="B9" s="118">
        <f t="shared" si="2"/>
        <v>3000000</v>
      </c>
      <c r="C9" s="121">
        <v>0.17</v>
      </c>
      <c r="D9" s="196">
        <f t="shared" si="3"/>
        <v>0.79</v>
      </c>
      <c r="E9" s="121">
        <f t="shared" si="4"/>
        <v>0.26112790043893674</v>
      </c>
      <c r="F9" s="197">
        <f t="shared" si="0"/>
        <v>0.83506048830939994</v>
      </c>
      <c r="G9" s="195">
        <f t="shared" si="1"/>
        <v>2.0304476066815656E-3</v>
      </c>
      <c r="H9" s="13"/>
    </row>
    <row r="10" spans="1:9" ht="15.75" thickBot="1" x14ac:dyDescent="0.3">
      <c r="A10" s="57">
        <v>3000000</v>
      </c>
      <c r="B10" s="198"/>
      <c r="C10" s="5"/>
      <c r="D10" s="199"/>
      <c r="E10" s="200" t="s">
        <v>8</v>
      </c>
      <c r="F10" s="201">
        <v>13.279701051087887</v>
      </c>
      <c r="G10" s="92">
        <f>SUM(G3:G9)</f>
        <v>5.3130185034065752E-3</v>
      </c>
      <c r="H10" s="13"/>
      <c r="I10" s="13"/>
    </row>
    <row r="11" spans="1:9" ht="15.75" thickBot="1" x14ac:dyDescent="0.3">
      <c r="C11"/>
      <c r="E11" s="202" t="s">
        <v>9</v>
      </c>
      <c r="F11" s="203">
        <v>1.6774352933043337</v>
      </c>
      <c r="G11" s="204"/>
      <c r="H11" s="13"/>
      <c r="I11" s="13"/>
    </row>
    <row r="12" spans="1:9" ht="15.75" thickBot="1" x14ac:dyDescent="0.3">
      <c r="C12"/>
      <c r="G12" s="13"/>
      <c r="H12" s="13"/>
      <c r="I12" s="13"/>
    </row>
    <row r="13" spans="1:9" ht="15.75" thickBot="1" x14ac:dyDescent="0.3">
      <c r="A13" s="251" t="s">
        <v>158</v>
      </c>
      <c r="B13" s="253"/>
      <c r="C13" s="253"/>
      <c r="D13" s="253"/>
      <c r="E13" s="253"/>
      <c r="F13" s="253"/>
      <c r="G13" s="253"/>
      <c r="H13" s="253"/>
      <c r="I13" s="252"/>
    </row>
    <row r="14" spans="1:9" ht="15.75" thickBot="1" x14ac:dyDescent="0.3">
      <c r="A14" s="205" t="s">
        <v>139</v>
      </c>
      <c r="B14" s="205" t="s">
        <v>140</v>
      </c>
      <c r="C14" s="205" t="s">
        <v>143</v>
      </c>
      <c r="D14" s="205" t="s">
        <v>144</v>
      </c>
      <c r="E14" s="205" t="s">
        <v>142</v>
      </c>
      <c r="F14" s="205" t="s">
        <v>145</v>
      </c>
      <c r="G14" s="205" t="s">
        <v>10</v>
      </c>
      <c r="H14" s="205" t="s">
        <v>23</v>
      </c>
      <c r="I14" s="205" t="s">
        <v>81</v>
      </c>
    </row>
    <row r="15" spans="1:9" x14ac:dyDescent="0.25">
      <c r="A15" s="206">
        <v>0</v>
      </c>
      <c r="B15" s="207">
        <f>A16</f>
        <v>50000</v>
      </c>
      <c r="C15" s="207">
        <v>64795</v>
      </c>
      <c r="D15" s="208">
        <v>0.17460000000000001</v>
      </c>
      <c r="E15" s="209">
        <f>D15</f>
        <v>0.17460000000000001</v>
      </c>
      <c r="F15" s="207">
        <v>1123997137.501297</v>
      </c>
      <c r="G15" s="208">
        <f t="shared" ref="G15:G26" si="5">_xlfn.LOGNORM.DIST(B15,H$27,H$28,TRUE)</f>
        <v>0.15162622052041183</v>
      </c>
      <c r="H15" s="208">
        <f>G15</f>
        <v>0.15162622052041183</v>
      </c>
      <c r="I15" s="210">
        <f>(G15-E15)^2</f>
        <v>5.2779454357674671E-4</v>
      </c>
    </row>
    <row r="16" spans="1:9" x14ac:dyDescent="0.25">
      <c r="A16" s="211">
        <v>50000</v>
      </c>
      <c r="B16" s="212">
        <f t="shared" ref="B16:B26" si="6">A17</f>
        <v>100000</v>
      </c>
      <c r="C16" s="212">
        <v>51364</v>
      </c>
      <c r="D16" s="213">
        <v>0.1348</v>
      </c>
      <c r="E16" s="214">
        <f>E15+D16</f>
        <v>0.30940000000000001</v>
      </c>
      <c r="F16" s="212">
        <v>3453048039.778965</v>
      </c>
      <c r="G16" s="213">
        <f t="shared" si="5"/>
        <v>0.32423304609584069</v>
      </c>
      <c r="H16" s="213">
        <f>G16-G15</f>
        <v>0.17260682557542886</v>
      </c>
      <c r="I16" s="215">
        <f t="shared" ref="I16:I26" si="7">(G16-E16)^2</f>
        <v>2.2001925648133458E-4</v>
      </c>
    </row>
    <row r="17" spans="1:9" x14ac:dyDescent="0.25">
      <c r="A17" s="211">
        <v>100000</v>
      </c>
      <c r="B17" s="212">
        <f t="shared" si="6"/>
        <v>200000</v>
      </c>
      <c r="C17" s="212">
        <v>83800</v>
      </c>
      <c r="D17" s="213">
        <v>0.22589999999999999</v>
      </c>
      <c r="E17" s="214">
        <f t="shared" ref="E17:E27" si="8">E16+D17</f>
        <v>0.5353</v>
      </c>
      <c r="F17" s="212">
        <v>10968095021.137377</v>
      </c>
      <c r="G17" s="213">
        <f t="shared" si="5"/>
        <v>0.54684548474278394</v>
      </c>
      <c r="H17" s="213">
        <f t="shared" ref="H17:H26" si="9">G17-G16</f>
        <v>0.22261243864694324</v>
      </c>
      <c r="I17" s="215">
        <f t="shared" si="7"/>
        <v>1.3329821794585674E-4</v>
      </c>
    </row>
    <row r="18" spans="1:9" x14ac:dyDescent="0.25">
      <c r="A18" s="211">
        <v>200000</v>
      </c>
      <c r="B18" s="212">
        <f t="shared" si="6"/>
        <v>300000</v>
      </c>
      <c r="C18" s="212">
        <v>51606</v>
      </c>
      <c r="D18" s="213">
        <v>0.1391</v>
      </c>
      <c r="E18" s="214">
        <f t="shared" si="8"/>
        <v>0.6744</v>
      </c>
      <c r="F18" s="212">
        <v>11448159415.945526</v>
      </c>
      <c r="G18" s="213">
        <f t="shared" si="5"/>
        <v>0.67480618150297778</v>
      </c>
      <c r="H18" s="213">
        <f t="shared" si="9"/>
        <v>0.12796069676019384</v>
      </c>
      <c r="I18" s="215">
        <f t="shared" si="7"/>
        <v>1.6498341336128505E-7</v>
      </c>
    </row>
    <row r="19" spans="1:9" x14ac:dyDescent="0.25">
      <c r="A19" s="211">
        <v>300000</v>
      </c>
      <c r="B19" s="212">
        <f t="shared" si="6"/>
        <v>350000</v>
      </c>
      <c r="C19" s="212">
        <v>18299</v>
      </c>
      <c r="D19" s="213">
        <v>4.9299999999999997E-2</v>
      </c>
      <c r="E19" s="214">
        <f t="shared" si="8"/>
        <v>0.72370000000000001</v>
      </c>
      <c r="F19" s="212">
        <v>5338328169.7393265</v>
      </c>
      <c r="G19" s="213">
        <f t="shared" si="5"/>
        <v>0.71930755580961803</v>
      </c>
      <c r="H19" s="213">
        <f t="shared" si="9"/>
        <v>4.4501374306640251E-2</v>
      </c>
      <c r="I19" s="215">
        <f t="shared" si="7"/>
        <v>1.9293565965620438E-5</v>
      </c>
    </row>
    <row r="20" spans="1:9" x14ac:dyDescent="0.25">
      <c r="A20" s="211">
        <v>350000</v>
      </c>
      <c r="B20" s="212">
        <f t="shared" si="6"/>
        <v>500000</v>
      </c>
      <c r="C20" s="212">
        <v>35405</v>
      </c>
      <c r="D20" s="213">
        <v>9.5399999999999999E-2</v>
      </c>
      <c r="E20" s="214">
        <f t="shared" si="8"/>
        <v>0.81910000000000005</v>
      </c>
      <c r="F20" s="212">
        <v>13296865521.088314</v>
      </c>
      <c r="G20" s="213">
        <f t="shared" si="5"/>
        <v>0.80946853606976588</v>
      </c>
      <c r="H20" s="213">
        <f t="shared" si="9"/>
        <v>9.0160980260147849E-2</v>
      </c>
      <c r="I20" s="215">
        <f t="shared" si="7"/>
        <v>9.2765097439401922E-5</v>
      </c>
    </row>
    <row r="21" spans="1:9" x14ac:dyDescent="0.25">
      <c r="A21" s="211">
        <v>500000</v>
      </c>
      <c r="B21" s="212">
        <f t="shared" si="6"/>
        <v>1000000</v>
      </c>
      <c r="C21" s="212">
        <v>41975</v>
      </c>
      <c r="D21" s="213">
        <v>0.11310000000000001</v>
      </c>
      <c r="E21" s="214">
        <f t="shared" si="8"/>
        <v>0.93220000000000003</v>
      </c>
      <c r="F21" s="212">
        <v>25943680603.59798</v>
      </c>
      <c r="G21" s="213">
        <f t="shared" si="5"/>
        <v>0.92640504979358351</v>
      </c>
      <c r="H21" s="213">
        <f t="shared" si="9"/>
        <v>0.11693651372381764</v>
      </c>
      <c r="I21" s="215">
        <f t="shared" si="7"/>
        <v>3.3581447894846817E-5</v>
      </c>
    </row>
    <row r="22" spans="1:9" x14ac:dyDescent="0.25">
      <c r="A22" s="211">
        <v>1000000</v>
      </c>
      <c r="B22" s="212">
        <f t="shared" si="6"/>
        <v>1500000</v>
      </c>
      <c r="C22" s="212">
        <v>11175</v>
      </c>
      <c r="D22" s="213">
        <v>3.0099999999999998E-2</v>
      </c>
      <c r="E22" s="214">
        <f t="shared" si="8"/>
        <v>0.96230000000000004</v>
      </c>
      <c r="F22" s="212">
        <v>12146884772.325558</v>
      </c>
      <c r="G22" s="213">
        <f t="shared" si="5"/>
        <v>0.96287399600362567</v>
      </c>
      <c r="H22" s="213">
        <f t="shared" si="9"/>
        <v>3.6468946210042152E-2</v>
      </c>
      <c r="I22" s="215">
        <f t="shared" si="7"/>
        <v>3.2947141217818374E-7</v>
      </c>
    </row>
    <row r="23" spans="1:9" x14ac:dyDescent="0.25">
      <c r="A23" s="211">
        <v>1500000</v>
      </c>
      <c r="B23" s="212">
        <f t="shared" si="6"/>
        <v>3000000</v>
      </c>
      <c r="C23" s="212">
        <v>8399</v>
      </c>
      <c r="D23" s="213">
        <v>2.2599999999999999E-2</v>
      </c>
      <c r="E23" s="214">
        <f t="shared" si="8"/>
        <v>0.9849</v>
      </c>
      <c r="F23" s="212">
        <v>15389988403.392811</v>
      </c>
      <c r="G23" s="213">
        <f t="shared" si="5"/>
        <v>0.9908291512640095</v>
      </c>
      <c r="H23" s="213">
        <f t="shared" si="9"/>
        <v>2.7955155260383835E-2</v>
      </c>
      <c r="I23" s="215">
        <f t="shared" si="7"/>
        <v>3.5154834711505477E-5</v>
      </c>
    </row>
    <row r="24" spans="1:9" x14ac:dyDescent="0.25">
      <c r="A24" s="211">
        <v>3000000</v>
      </c>
      <c r="B24" s="212">
        <f t="shared" si="6"/>
        <v>5000000</v>
      </c>
      <c r="C24" s="216">
        <v>2268</v>
      </c>
      <c r="D24" s="217">
        <v>6.1000000000000004E-3</v>
      </c>
      <c r="E24" s="214">
        <f t="shared" si="8"/>
        <v>0.99099999999999999</v>
      </c>
      <c r="F24" s="216">
        <v>7710466657.8419762</v>
      </c>
      <c r="G24" s="213">
        <f t="shared" si="5"/>
        <v>0.99729343867053788</v>
      </c>
      <c r="H24" s="213">
        <f t="shared" si="9"/>
        <v>6.4642874065283795E-3</v>
      </c>
      <c r="I24" s="215">
        <f t="shared" si="7"/>
        <v>3.9607370299821692E-5</v>
      </c>
    </row>
    <row r="25" spans="1:9" x14ac:dyDescent="0.25">
      <c r="A25" s="211">
        <v>5000000</v>
      </c>
      <c r="B25" s="212">
        <f t="shared" si="6"/>
        <v>10000000</v>
      </c>
      <c r="C25" s="216">
        <v>1273</v>
      </c>
      <c r="D25" s="217">
        <v>3.3999999999999998E-3</v>
      </c>
      <c r="E25" s="214">
        <f t="shared" si="8"/>
        <v>0.99439999999999995</v>
      </c>
      <c r="F25" s="216">
        <v>7732565919.3243132</v>
      </c>
      <c r="G25" s="213">
        <f t="shared" si="5"/>
        <v>0.99960310651501938</v>
      </c>
      <c r="H25" s="213">
        <f t="shared" si="9"/>
        <v>2.3096678444815E-3</v>
      </c>
      <c r="I25" s="215">
        <f t="shared" si="7"/>
        <v>2.7072317406637626E-5</v>
      </c>
    </row>
    <row r="26" spans="1:9" ht="15.75" thickBot="1" x14ac:dyDescent="0.3">
      <c r="A26" s="211">
        <v>10000000</v>
      </c>
      <c r="B26" s="212">
        <f t="shared" si="6"/>
        <v>30000000</v>
      </c>
      <c r="C26" s="216">
        <v>523</v>
      </c>
      <c r="D26" s="217">
        <v>1.4E-3</v>
      </c>
      <c r="E26" s="214">
        <f t="shared" si="8"/>
        <v>0.99579999999999991</v>
      </c>
      <c r="F26" s="216">
        <v>7357839529.284339</v>
      </c>
      <c r="G26" s="213">
        <f t="shared" si="5"/>
        <v>0.99998996317923794</v>
      </c>
      <c r="H26" s="213">
        <f t="shared" si="9"/>
        <v>3.8685666421856002E-4</v>
      </c>
      <c r="I26" s="218">
        <f t="shared" si="7"/>
        <v>1.7555791443370476E-5</v>
      </c>
    </row>
    <row r="27" spans="1:9" ht="15.75" thickBot="1" x14ac:dyDescent="0.3">
      <c r="A27" s="219">
        <v>30000000</v>
      </c>
      <c r="B27" s="220"/>
      <c r="C27" s="221">
        <v>156</v>
      </c>
      <c r="D27" s="222">
        <v>4.0000000000000002E-4</v>
      </c>
      <c r="E27" s="223">
        <f t="shared" si="8"/>
        <v>0.99619999999999986</v>
      </c>
      <c r="F27" s="221">
        <v>9848003699.6768475</v>
      </c>
      <c r="G27" s="200" t="s">
        <v>8</v>
      </c>
      <c r="H27" s="224">
        <v>12.063845122793797</v>
      </c>
      <c r="I27" s="92">
        <f>SUM(I15:I26)</f>
        <v>1.1466368979906822E-3</v>
      </c>
    </row>
    <row r="28" spans="1:9" ht="15.75" thickBot="1" x14ac:dyDescent="0.3">
      <c r="C28" s="225">
        <f>SUM(C15:C27)</f>
        <v>371038</v>
      </c>
      <c r="G28" s="200" t="s">
        <v>9</v>
      </c>
      <c r="H28" s="224">
        <v>1.2084376399150429</v>
      </c>
    </row>
    <row r="29" spans="1:9" x14ac:dyDescent="0.25">
      <c r="A29" s="205" t="s">
        <v>139</v>
      </c>
      <c r="B29" s="205" t="s">
        <v>140</v>
      </c>
      <c r="C29" s="205" t="s">
        <v>143</v>
      </c>
      <c r="D29" s="205" t="s">
        <v>144</v>
      </c>
      <c r="E29" s="205" t="s">
        <v>142</v>
      </c>
      <c r="F29" s="205" t="s">
        <v>145</v>
      </c>
      <c r="G29" s="205" t="s">
        <v>10</v>
      </c>
      <c r="H29" s="205" t="s">
        <v>23</v>
      </c>
      <c r="I29" s="205" t="s">
        <v>81</v>
      </c>
    </row>
    <row r="30" spans="1:9" x14ac:dyDescent="0.25">
      <c r="A30" s="212">
        <v>0</v>
      </c>
      <c r="B30" s="212">
        <f>A31</f>
        <v>250000</v>
      </c>
      <c r="C30" s="212">
        <v>233084</v>
      </c>
      <c r="D30" s="230">
        <v>0.63058905010158839</v>
      </c>
      <c r="E30" s="230">
        <f>D30</f>
        <v>0.63058905010158839</v>
      </c>
      <c r="F30" s="212">
        <v>23600000000</v>
      </c>
      <c r="G30" s="230">
        <f>_xlfn.LOGNORM.DIST(B30,$H$36,$H$37,TRUE)</f>
        <v>0.63104094469131189</v>
      </c>
      <c r="H30" s="230">
        <f>G30</f>
        <v>0.63104094469131189</v>
      </c>
      <c r="I30">
        <f>(G30-E30)^2</f>
        <v>2.0420872022137083E-7</v>
      </c>
    </row>
    <row r="31" spans="1:9" x14ac:dyDescent="0.25">
      <c r="A31" s="212">
        <v>250000</v>
      </c>
      <c r="B31" s="212">
        <f t="shared" ref="B31:B35" si="10">A32</f>
        <v>500000</v>
      </c>
      <c r="C31" s="212">
        <v>75446</v>
      </c>
      <c r="D31" s="230">
        <v>0.20411277253678689</v>
      </c>
      <c r="E31" s="230">
        <f>E30+D31</f>
        <v>0.83470182263837533</v>
      </c>
      <c r="F31" s="212">
        <v>26600000000</v>
      </c>
      <c r="G31" s="230">
        <f t="shared" ref="G31:G35" si="11">_xlfn.LOGNORM.DIST(B31,$H$36,$H$37,TRUE)</f>
        <v>0.83374750706662493</v>
      </c>
      <c r="H31" s="230">
        <f>G31-G30</f>
        <v>0.20270656237531304</v>
      </c>
      <c r="I31">
        <f t="shared" ref="I31:I34" si="12">(G31-E31)^2</f>
        <v>9.1071821048530838E-7</v>
      </c>
    </row>
    <row r="32" spans="1:9" x14ac:dyDescent="0.25">
      <c r="A32" s="212">
        <v>500000</v>
      </c>
      <c r="B32" s="212">
        <f t="shared" si="10"/>
        <v>1000000</v>
      </c>
      <c r="C32" s="212">
        <v>41053</v>
      </c>
      <c r="D32" s="230">
        <v>0.11106541965051443</v>
      </c>
      <c r="E32" s="230">
        <f t="shared" ref="E32:E35" si="13">E31+D32</f>
        <v>0.94576724228888975</v>
      </c>
      <c r="F32" s="212">
        <v>28200000000</v>
      </c>
      <c r="G32" s="230">
        <f t="shared" si="11"/>
        <v>0.94559331442155581</v>
      </c>
      <c r="H32" s="230">
        <f t="shared" ref="H32:H34" si="14">G32-G31</f>
        <v>0.11184580735493088</v>
      </c>
      <c r="I32">
        <f t="shared" si="12"/>
        <v>3.0250903035334393E-8</v>
      </c>
    </row>
    <row r="33" spans="1:16" x14ac:dyDescent="0.25">
      <c r="A33" s="212">
        <v>1000000</v>
      </c>
      <c r="B33" s="212">
        <f t="shared" si="10"/>
        <v>2000000</v>
      </c>
      <c r="C33" s="212">
        <v>14495</v>
      </c>
      <c r="D33" s="230">
        <v>3.9214996658811944E-2</v>
      </c>
      <c r="E33" s="230">
        <f t="shared" si="13"/>
        <v>0.98498223894770165</v>
      </c>
      <c r="F33" s="212">
        <v>19500000000</v>
      </c>
      <c r="G33" s="230">
        <f t="shared" si="11"/>
        <v>0.98739007850894878</v>
      </c>
      <c r="H33" s="230">
        <f t="shared" si="14"/>
        <v>4.1796764087392968E-2</v>
      </c>
      <c r="I33">
        <f t="shared" si="12"/>
        <v>5.797691352706757E-6</v>
      </c>
      <c r="M33" s="13"/>
      <c r="P33" s="13">
        <f>SUM(P24:P32)</f>
        <v>0</v>
      </c>
    </row>
    <row r="34" spans="1:16" ht="15.75" thickBot="1" x14ac:dyDescent="0.3">
      <c r="A34" s="212">
        <v>2000000</v>
      </c>
      <c r="B34" s="212">
        <f t="shared" si="10"/>
        <v>4000000</v>
      </c>
      <c r="C34" s="212">
        <v>4214</v>
      </c>
      <c r="D34" s="230">
        <v>1.1400620622299656E-2</v>
      </c>
      <c r="E34" s="230">
        <f t="shared" si="13"/>
        <v>0.99638285957000128</v>
      </c>
      <c r="F34" s="212">
        <v>11200000000</v>
      </c>
      <c r="G34" s="230">
        <f t="shared" si="11"/>
        <v>0.9979637296423004</v>
      </c>
      <c r="H34" s="230">
        <f t="shared" si="14"/>
        <v>1.0573651133351625E-2</v>
      </c>
      <c r="I34">
        <f t="shared" si="12"/>
        <v>2.4991501854910349E-6</v>
      </c>
    </row>
    <row r="35" spans="1:16" ht="15.75" thickBot="1" x14ac:dyDescent="0.3">
      <c r="A35" s="212">
        <v>4000000</v>
      </c>
      <c r="B35" s="212">
        <f t="shared" si="10"/>
        <v>0</v>
      </c>
      <c r="C35" s="212">
        <v>1337</v>
      </c>
      <c r="D35" s="230">
        <v>3.6171404299987285E-3</v>
      </c>
      <c r="E35" s="230">
        <f t="shared" si="13"/>
        <v>1</v>
      </c>
      <c r="F35" s="212">
        <v>9300000000</v>
      </c>
      <c r="G35" s="212" t="e">
        <f t="shared" si="11"/>
        <v>#NUM!</v>
      </c>
      <c r="H35" s="212"/>
      <c r="I35" s="92">
        <f>SUM(I30:I34)</f>
        <v>9.4420193719398047E-6</v>
      </c>
    </row>
    <row r="36" spans="1:16" ht="15.75" thickBot="1" x14ac:dyDescent="0.3">
      <c r="G36" s="200" t="s">
        <v>8</v>
      </c>
      <c r="H36" s="224">
        <v>12.063658431373911</v>
      </c>
    </row>
    <row r="37" spans="1:16" ht="15.75" thickBot="1" x14ac:dyDescent="0.3">
      <c r="C37"/>
      <c r="G37" s="200" t="s">
        <v>9</v>
      </c>
      <c r="H37" s="224">
        <v>1.0924839141549714</v>
      </c>
    </row>
    <row r="38" spans="1:16" ht="15.75" thickBot="1" x14ac:dyDescent="0.3">
      <c r="A38" s="251" t="s">
        <v>159</v>
      </c>
      <c r="B38" s="253"/>
      <c r="C38" s="253"/>
      <c r="D38" s="253"/>
      <c r="E38" s="253"/>
      <c r="F38" s="253"/>
      <c r="G38" s="253"/>
      <c r="H38" s="253"/>
      <c r="I38" s="252"/>
    </row>
    <row r="39" spans="1:16" x14ac:dyDescent="0.25">
      <c r="A39" s="205" t="s">
        <v>139</v>
      </c>
      <c r="B39" s="205" t="s">
        <v>140</v>
      </c>
      <c r="C39" s="205" t="s">
        <v>143</v>
      </c>
      <c r="D39" s="205" t="s">
        <v>144</v>
      </c>
      <c r="E39" s="205" t="s">
        <v>142</v>
      </c>
      <c r="F39" s="205" t="s">
        <v>145</v>
      </c>
      <c r="G39" s="205" t="s">
        <v>10</v>
      </c>
      <c r="H39" s="205" t="s">
        <v>23</v>
      </c>
      <c r="I39" s="205" t="s">
        <v>81</v>
      </c>
    </row>
    <row r="40" spans="1:16" x14ac:dyDescent="0.25">
      <c r="A40" s="212">
        <v>0</v>
      </c>
      <c r="B40" s="212">
        <f>A41</f>
        <v>250000</v>
      </c>
      <c r="C40" s="212">
        <v>5773</v>
      </c>
      <c r="D40" s="230">
        <v>0.33827493261455527</v>
      </c>
      <c r="E40" s="230">
        <f>D40</f>
        <v>0.33827493261455527</v>
      </c>
      <c r="F40" s="212">
        <v>600000000</v>
      </c>
      <c r="G40" s="230">
        <f>_xlfn.LOGNORM.DIST(B40,$H$46,$H$47,TRUE)</f>
        <v>0.33606084544174342</v>
      </c>
      <c r="H40" s="230">
        <f>G40</f>
        <v>0.33606084544174342</v>
      </c>
      <c r="I40">
        <f>(G40-E40)^2</f>
        <v>4.902182008809978E-6</v>
      </c>
    </row>
    <row r="41" spans="1:16" x14ac:dyDescent="0.25">
      <c r="A41" s="212">
        <v>250000</v>
      </c>
      <c r="B41" s="212">
        <f t="shared" ref="B41:B45" si="15">A42</f>
        <v>500000</v>
      </c>
      <c r="C41" s="212">
        <v>2728</v>
      </c>
      <c r="D41" s="230">
        <v>0.15984999414039611</v>
      </c>
      <c r="E41" s="230">
        <f>E40+D41</f>
        <v>0.49812492675495135</v>
      </c>
      <c r="F41" s="212">
        <v>1000000000</v>
      </c>
      <c r="G41" s="230">
        <f t="shared" ref="G41:G44" si="16">_xlfn.LOGNORM.DIST(B41,$H$46,$H$47,TRUE)</f>
        <v>0.50104579238155755</v>
      </c>
      <c r="H41" s="230">
        <f>G41-G40</f>
        <v>0.16498494693981414</v>
      </c>
      <c r="I41">
        <f t="shared" ref="I41:I44" si="17">(G41-E41)^2</f>
        <v>8.5314560086896644E-6</v>
      </c>
    </row>
    <row r="42" spans="1:16" x14ac:dyDescent="0.25">
      <c r="A42" s="212">
        <v>500000</v>
      </c>
      <c r="B42" s="212">
        <f t="shared" si="15"/>
        <v>1000000</v>
      </c>
      <c r="C42" s="212">
        <v>2855</v>
      </c>
      <c r="D42" s="230">
        <v>0.16729169108168288</v>
      </c>
      <c r="E42" s="230">
        <f t="shared" ref="E42:E45" si="18">E41+D42</f>
        <v>0.66541661783663419</v>
      </c>
      <c r="F42" s="212">
        <v>2100000000</v>
      </c>
      <c r="G42" s="230">
        <f t="shared" si="16"/>
        <v>0.66584942373809741</v>
      </c>
      <c r="H42" s="230">
        <f t="shared" ref="H42:H44" si="19">G42-G41</f>
        <v>0.16480363135653986</v>
      </c>
      <c r="I42">
        <f t="shared" si="17"/>
        <v>1.8732094834138873E-7</v>
      </c>
    </row>
    <row r="43" spans="1:16" x14ac:dyDescent="0.25">
      <c r="A43" s="212">
        <v>1000000</v>
      </c>
      <c r="B43" s="212">
        <f t="shared" si="15"/>
        <v>2000000</v>
      </c>
      <c r="C43" s="212">
        <v>2393</v>
      </c>
      <c r="D43" s="230">
        <v>0.14022032110629321</v>
      </c>
      <c r="E43" s="230">
        <f t="shared" si="18"/>
        <v>0.80563693894292743</v>
      </c>
      <c r="F43" s="212">
        <v>3400000000</v>
      </c>
      <c r="G43" s="230">
        <f t="shared" si="16"/>
        <v>0.80354170299964955</v>
      </c>
      <c r="H43" s="230">
        <f t="shared" si="19"/>
        <v>0.13769227926155214</v>
      </c>
      <c r="I43">
        <f t="shared" si="17"/>
        <v>4.3900136580035199E-6</v>
      </c>
      <c r="M43" s="13"/>
      <c r="P43" s="13">
        <f>SUM(P34:P42)</f>
        <v>0</v>
      </c>
    </row>
    <row r="44" spans="1:16" ht="15.75" thickBot="1" x14ac:dyDescent="0.3">
      <c r="A44" s="212">
        <v>2000000</v>
      </c>
      <c r="B44" s="212">
        <f t="shared" si="15"/>
        <v>4000000</v>
      </c>
      <c r="C44" s="212">
        <v>1600</v>
      </c>
      <c r="D44" s="230">
        <v>9.375366225243173E-2</v>
      </c>
      <c r="E44" s="230">
        <f t="shared" si="18"/>
        <v>0.89939060119535919</v>
      </c>
      <c r="F44" s="212">
        <v>4500000000</v>
      </c>
      <c r="G44" s="230">
        <f t="shared" si="16"/>
        <v>0.8997624897835943</v>
      </c>
      <c r="H44" s="230">
        <f t="shared" si="19"/>
        <v>9.6220786783944745E-2</v>
      </c>
      <c r="I44">
        <f t="shared" si="17"/>
        <v>1.383011220595063E-7</v>
      </c>
    </row>
    <row r="45" spans="1:16" ht="15.75" thickBot="1" x14ac:dyDescent="0.3">
      <c r="A45" s="212">
        <v>4000000</v>
      </c>
      <c r="B45" s="212">
        <f t="shared" si="15"/>
        <v>0</v>
      </c>
      <c r="C45" s="212">
        <v>1717</v>
      </c>
      <c r="D45" s="230">
        <v>0.1006093988046408</v>
      </c>
      <c r="E45" s="230">
        <f t="shared" si="18"/>
        <v>1</v>
      </c>
      <c r="F45" s="212">
        <v>25200000000</v>
      </c>
      <c r="G45" s="212" t="e">
        <f t="shared" ref="G45" si="20">_xlfn.LOGNORM.DIST(B45,$H$36,$H$37,TRUE)</f>
        <v>#NUM!</v>
      </c>
      <c r="H45" s="212"/>
      <c r="I45" s="92">
        <f>SUM(I40:I44)</f>
        <v>1.8149273745904056E-5</v>
      </c>
    </row>
    <row r="46" spans="1:16" ht="15.75" thickBot="1" x14ac:dyDescent="0.3">
      <c r="C46" s="40">
        <f>SUM(C40:C45)</f>
        <v>17066</v>
      </c>
      <c r="G46" s="200" t="s">
        <v>8</v>
      </c>
      <c r="H46" s="224">
        <v>13.118096646974026</v>
      </c>
    </row>
    <row r="47" spans="1:16" ht="16.5" thickBot="1" x14ac:dyDescent="0.3">
      <c r="B47" s="231"/>
      <c r="C47" s="119"/>
      <c r="G47" s="200" t="s">
        <v>9</v>
      </c>
      <c r="H47" s="224">
        <v>1.6276435440065367</v>
      </c>
    </row>
    <row r="48" spans="1:16" ht="15.75" x14ac:dyDescent="0.25">
      <c r="B48" s="229"/>
      <c r="C48" s="119"/>
    </row>
    <row r="49" spans="2:3" ht="15.75" x14ac:dyDescent="0.25">
      <c r="B49" s="229"/>
      <c r="C49" s="119"/>
    </row>
    <row r="50" spans="2:3" ht="15.75" x14ac:dyDescent="0.25">
      <c r="B50" s="229"/>
      <c r="C50" s="119"/>
    </row>
    <row r="51" spans="2:3" ht="15.75" x14ac:dyDescent="0.25">
      <c r="B51" s="229"/>
      <c r="C51" s="119"/>
    </row>
    <row r="52" spans="2:3" ht="15.75" x14ac:dyDescent="0.25">
      <c r="B52" s="229"/>
      <c r="C52" s="119"/>
    </row>
    <row r="54" spans="2:3" ht="15.75" x14ac:dyDescent="0.25">
      <c r="B54" s="229"/>
    </row>
    <row r="56" spans="2:3" ht="15.75" x14ac:dyDescent="0.25">
      <c r="B56" s="229"/>
    </row>
  </sheetData>
  <mergeCells count="3">
    <mergeCell ref="A1:G1"/>
    <mergeCell ref="A13:I13"/>
    <mergeCell ref="A38:I3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F4F0-35A4-4FDA-A5C0-2E39204F18E4}">
  <sheetPr>
    <tabColor theme="7"/>
  </sheetPr>
  <dimension ref="A1:K29"/>
  <sheetViews>
    <sheetView workbookViewId="0">
      <pane ySplit="25" topLeftCell="A26" activePane="bottomLeft" state="frozen"/>
      <selection pane="bottomLeft" activeCell="E19" sqref="E19:E20"/>
    </sheetView>
  </sheetViews>
  <sheetFormatPr defaultRowHeight="15" x14ac:dyDescent="0.25"/>
  <cols>
    <col min="1" max="1" width="37.85546875" bestFit="1" customWidth="1"/>
    <col min="2" max="2" width="22" bestFit="1" customWidth="1"/>
    <col min="3" max="3" width="11.42578125" bestFit="1" customWidth="1"/>
    <col min="4" max="4" width="27.28515625" bestFit="1" customWidth="1"/>
    <col min="5" max="5" width="20.140625" bestFit="1" customWidth="1"/>
    <col min="6" max="6" width="17.85546875" bestFit="1" customWidth="1"/>
    <col min="7" max="7" width="20" bestFit="1" customWidth="1"/>
    <col min="8" max="8" width="23.28515625" bestFit="1" customWidth="1"/>
    <col min="9" max="9" width="19.5703125" bestFit="1" customWidth="1"/>
    <col min="10" max="10" width="23.28515625" bestFit="1" customWidth="1"/>
    <col min="11" max="11" width="12.85546875" bestFit="1" customWidth="1"/>
    <col min="12" max="12" width="22.42578125" bestFit="1" customWidth="1"/>
    <col min="13" max="13" width="13.140625" bestFit="1" customWidth="1"/>
    <col min="14" max="14" width="5.42578125" bestFit="1" customWidth="1"/>
    <col min="18" max="18" width="8.5703125" bestFit="1" customWidth="1"/>
    <col min="19" max="19" width="18.85546875" bestFit="1" customWidth="1"/>
    <col min="20" max="20" width="9.5703125" bestFit="1" customWidth="1"/>
  </cols>
  <sheetData>
    <row r="1" spans="1:11" ht="19.5" thickBot="1" x14ac:dyDescent="0.35">
      <c r="A1" s="157" t="s">
        <v>123</v>
      </c>
      <c r="B1" s="157" t="s">
        <v>32</v>
      </c>
      <c r="C1" s="157" t="s">
        <v>30</v>
      </c>
      <c r="D1" s="157" t="s">
        <v>31</v>
      </c>
      <c r="E1" s="157" t="s">
        <v>135</v>
      </c>
      <c r="F1" s="157" t="s">
        <v>136</v>
      </c>
      <c r="G1" s="157" t="s">
        <v>66</v>
      </c>
      <c r="H1" s="157" t="s">
        <v>131</v>
      </c>
      <c r="J1" s="157" t="s">
        <v>162</v>
      </c>
      <c r="K1" s="157" t="s">
        <v>163</v>
      </c>
    </row>
    <row r="2" spans="1:11" ht="19.5" thickBot="1" x14ac:dyDescent="0.35">
      <c r="B2" s="236">
        <v>4514.87</v>
      </c>
      <c r="C2" s="237">
        <f>8.3%</f>
        <v>8.3000000000000004E-2</v>
      </c>
      <c r="D2" s="237">
        <f>2.65%</f>
        <v>2.6499999999999999E-2</v>
      </c>
      <c r="E2" s="236">
        <v>25000</v>
      </c>
      <c r="F2" s="236">
        <v>28074.115665356538</v>
      </c>
      <c r="G2" s="238">
        <v>0</v>
      </c>
      <c r="H2" s="156">
        <f>IF((E2-0)*G2&lt;0,999999999,(E2-0)*G2)</f>
        <v>0</v>
      </c>
      <c r="I2" s="1"/>
      <c r="J2" s="156">
        <v>60000</v>
      </c>
      <c r="K2" s="156">
        <v>67377.877596855687</v>
      </c>
    </row>
    <row r="3" spans="1:11" ht="19.5" thickBot="1" x14ac:dyDescent="0.35">
      <c r="A3" s="182" t="s">
        <v>74</v>
      </c>
      <c r="B3" s="182" t="s">
        <v>137</v>
      </c>
      <c r="D3" s="1"/>
      <c r="E3" s="236">
        <v>35000</v>
      </c>
      <c r="F3" s="236">
        <v>39303.761931499153</v>
      </c>
      <c r="G3" s="238">
        <v>0.3</v>
      </c>
      <c r="H3" s="156">
        <f>IF((E3-E2)*G3&lt;0,999999999,(E3-E2)*G3)</f>
        <v>3000</v>
      </c>
      <c r="I3" s="1"/>
      <c r="J3" s="156">
        <v>50000</v>
      </c>
      <c r="K3" s="156">
        <v>56148.231330713075</v>
      </c>
    </row>
    <row r="4" spans="1:11" ht="19.5" thickBot="1" x14ac:dyDescent="0.35">
      <c r="A4" s="182" t="s">
        <v>26</v>
      </c>
      <c r="B4" s="159" t="s">
        <v>146</v>
      </c>
      <c r="C4" s="160"/>
      <c r="E4" s="236"/>
      <c r="F4" s="236"/>
      <c r="G4" s="238">
        <v>0.45</v>
      </c>
      <c r="H4" s="156">
        <f>IF((E4-E3)*G4&lt;0,999999999,(E4-E3)*G4)</f>
        <v>999999999</v>
      </c>
      <c r="I4" s="1"/>
      <c r="J4" s="156">
        <v>44525</v>
      </c>
      <c r="K4" s="156">
        <v>50000</v>
      </c>
    </row>
    <row r="5" spans="1:11" ht="19.5" thickBot="1" x14ac:dyDescent="0.35">
      <c r="A5" s="182" t="s">
        <v>14</v>
      </c>
      <c r="B5" s="158" t="s">
        <v>77</v>
      </c>
      <c r="C5" s="240">
        <v>10.03109574729636</v>
      </c>
      <c r="E5" s="236"/>
      <c r="F5" s="236"/>
      <c r="G5" s="238"/>
      <c r="H5" s="156">
        <f t="shared" ref="H5:H6" si="0">IF((E5-E4)*G5&lt;0,999999999,(E5-E4)*G5)</f>
        <v>0</v>
      </c>
      <c r="I5" s="1"/>
      <c r="J5" s="156">
        <v>40072.5</v>
      </c>
      <c r="K5" s="156">
        <v>45000</v>
      </c>
    </row>
    <row r="6" spans="1:11" ht="19.5" thickBot="1" x14ac:dyDescent="0.35">
      <c r="A6" s="182" t="s">
        <v>83</v>
      </c>
      <c r="B6" s="158" t="s">
        <v>78</v>
      </c>
      <c r="C6" s="240">
        <v>0.66155658154839625</v>
      </c>
      <c r="E6" s="239"/>
      <c r="F6" s="239"/>
      <c r="G6" s="238"/>
      <c r="H6" s="156">
        <f t="shared" si="0"/>
        <v>0</v>
      </c>
      <c r="I6" s="1"/>
      <c r="J6" s="156">
        <v>40000</v>
      </c>
      <c r="K6" s="156">
        <v>44918.585064570463</v>
      </c>
    </row>
    <row r="7" spans="1:11" ht="19.5" thickBot="1" x14ac:dyDescent="0.35">
      <c r="I7" s="1"/>
      <c r="J7" s="156">
        <v>35620</v>
      </c>
      <c r="K7" s="156">
        <v>40000</v>
      </c>
    </row>
    <row r="8" spans="1:11" ht="19.5" thickBot="1" x14ac:dyDescent="0.35">
      <c r="A8" s="158" t="s">
        <v>124</v>
      </c>
      <c r="B8" s="157" t="s">
        <v>32</v>
      </c>
      <c r="C8" s="157" t="s">
        <v>30</v>
      </c>
      <c r="D8" s="157" t="s">
        <v>31</v>
      </c>
      <c r="E8" s="157" t="str">
        <f>E1</f>
        <v>Taxable_bracket</v>
      </c>
      <c r="F8" s="157" t="str">
        <f>F1</f>
        <v>Gross_bracket</v>
      </c>
      <c r="G8" s="157" t="s">
        <v>66</v>
      </c>
      <c r="H8" s="157" t="s">
        <v>131</v>
      </c>
      <c r="I8" s="183"/>
      <c r="J8" s="156">
        <v>31167.526716780994</v>
      </c>
      <c r="K8" s="156">
        <v>35000.030001999992</v>
      </c>
    </row>
    <row r="9" spans="1:11" ht="19.5" thickBot="1" x14ac:dyDescent="0.35">
      <c r="B9" s="184">
        <v>4514.87</v>
      </c>
      <c r="C9" s="185">
        <v>8.3000000000000004E-2</v>
      </c>
      <c r="D9" s="185">
        <v>2.6499999999999999E-2</v>
      </c>
      <c r="E9" s="184">
        <v>19500</v>
      </c>
      <c r="F9" s="184">
        <v>21897.810218978102</v>
      </c>
      <c r="G9" s="186">
        <v>0</v>
      </c>
      <c r="H9" s="156">
        <f>IF((E9-0)*G9&lt;0,999999999,(E9-0)*G9)</f>
        <v>0</v>
      </c>
      <c r="I9" s="183"/>
      <c r="J9" s="156">
        <v>30000</v>
      </c>
      <c r="K9" s="156">
        <v>33688.938798427844</v>
      </c>
    </row>
    <row r="10" spans="1:11" ht="19.5" thickBot="1" x14ac:dyDescent="0.35">
      <c r="E10" s="184">
        <v>28000</v>
      </c>
      <c r="F10" s="184">
        <v>31443.031443009542</v>
      </c>
      <c r="G10" s="186">
        <v>0.2</v>
      </c>
      <c r="H10" s="156">
        <f>IF((E10-E9)*G10&lt;0,999999999,(E10-E9)*G10)</f>
        <v>1700</v>
      </c>
      <c r="I10" s="183"/>
      <c r="J10" s="156">
        <v>26715.000000000004</v>
      </c>
      <c r="K10" s="156">
        <v>30000</v>
      </c>
    </row>
    <row r="11" spans="1:11" ht="19.5" thickBot="1" x14ac:dyDescent="0.35">
      <c r="A11" s="158" t="s">
        <v>25</v>
      </c>
      <c r="B11" s="241">
        <f>280000</f>
        <v>280000</v>
      </c>
      <c r="E11" s="184">
        <v>36300</v>
      </c>
      <c r="F11" s="184">
        <v>40763.647389129139</v>
      </c>
      <c r="G11" s="186">
        <v>0.25</v>
      </c>
      <c r="H11" s="156">
        <f t="shared" ref="H11:H13" si="1">IF((E11-E10)*G11&lt;0,999999999,(E11-E10)*G11)</f>
        <v>2075</v>
      </c>
      <c r="J11" s="156">
        <v>25000</v>
      </c>
      <c r="K11" s="156">
        <v>28074.115665356538</v>
      </c>
    </row>
    <row r="12" spans="1:11" ht="19.5" thickBot="1" x14ac:dyDescent="0.35">
      <c r="A12" s="158" t="s">
        <v>36</v>
      </c>
      <c r="B12" s="242">
        <v>0.64600000000000002</v>
      </c>
      <c r="C12" s="1"/>
      <c r="E12" s="184">
        <v>60000</v>
      </c>
      <c r="F12" s="184">
        <v>66271.0901900647</v>
      </c>
      <c r="G12" s="186">
        <v>0.3</v>
      </c>
      <c r="H12" s="156">
        <f t="shared" si="1"/>
        <v>7110</v>
      </c>
      <c r="J12" s="156">
        <v>23000</v>
      </c>
      <c r="K12" s="156">
        <v>25828.186412128016</v>
      </c>
    </row>
    <row r="13" spans="1:11" ht="19.5" thickBot="1" x14ac:dyDescent="0.35">
      <c r="A13" s="158" t="s">
        <v>129</v>
      </c>
      <c r="B13" s="242">
        <v>0.55000000000000004</v>
      </c>
      <c r="C13" s="1"/>
      <c r="E13" s="158"/>
      <c r="F13" s="158"/>
      <c r="G13" s="186">
        <v>0.35</v>
      </c>
      <c r="H13" s="156">
        <f t="shared" si="1"/>
        <v>999999999</v>
      </c>
    </row>
    <row r="14" spans="1:11" ht="19.5" thickBot="1" x14ac:dyDescent="0.35">
      <c r="A14" s="158" t="s">
        <v>37</v>
      </c>
      <c r="B14" s="242">
        <v>0.8</v>
      </c>
      <c r="C14" s="1"/>
    </row>
    <row r="15" spans="1:11" ht="19.5" thickBot="1" x14ac:dyDescent="0.35">
      <c r="A15" s="158" t="s">
        <v>39</v>
      </c>
      <c r="B15" s="165">
        <f>B14*B11*B12</f>
        <v>144704</v>
      </c>
      <c r="C15" s="1"/>
      <c r="G15" s="158" t="s">
        <v>125</v>
      </c>
      <c r="H15" s="236">
        <v>35000</v>
      </c>
      <c r="I15" s="156">
        <f>H15/(1-$D$2-$C$2)</f>
        <v>39303.761931499153</v>
      </c>
    </row>
    <row r="16" spans="1:11" ht="19.5" thickBot="1" x14ac:dyDescent="0.35">
      <c r="A16" s="158" t="s">
        <v>130</v>
      </c>
      <c r="B16" s="165">
        <f>B15/2</f>
        <v>72352</v>
      </c>
      <c r="C16" s="187"/>
      <c r="D16" s="158" t="s">
        <v>164</v>
      </c>
      <c r="E16" s="166">
        <f>SUM(minimum_wage!J2:J24)</f>
        <v>0</v>
      </c>
      <c r="F16" s="1"/>
      <c r="G16" s="157" t="s">
        <v>126</v>
      </c>
      <c r="H16" s="156">
        <f>I16*(1-$D$2-$C$2)</f>
        <v>26715.000000000004</v>
      </c>
      <c r="I16" s="244">
        <v>30000</v>
      </c>
    </row>
    <row r="17" spans="1:10" ht="19.5" thickBot="1" x14ac:dyDescent="0.35">
      <c r="A17" s="158" t="s">
        <v>38</v>
      </c>
      <c r="B17" s="165">
        <f>(1-B14)*B11*B12</f>
        <v>36175.999999999993</v>
      </c>
      <c r="C17" s="1"/>
      <c r="D17" s="158" t="str">
        <f>budget_income!N4</f>
        <v>income budget effect</v>
      </c>
      <c r="E17" s="166">
        <f>budget_income!O4</f>
        <v>49999232.970408581</v>
      </c>
      <c r="F17" s="1"/>
    </row>
    <row r="18" spans="1:10" ht="19.5" thickBot="1" x14ac:dyDescent="0.35">
      <c r="A18" s="158" t="s">
        <v>15</v>
      </c>
      <c r="B18" s="243">
        <v>0</v>
      </c>
      <c r="C18" s="1"/>
      <c r="D18" s="158" t="str">
        <f>budget_income!N8</f>
        <v>effect of joint taxation</v>
      </c>
      <c r="E18" s="167">
        <f>budget_income!O8</f>
        <v>-79432422.264973775</v>
      </c>
      <c r="F18" s="115"/>
      <c r="G18" s="254" t="s">
        <v>147</v>
      </c>
      <c r="H18" s="255"/>
      <c r="I18" s="254" t="s">
        <v>147</v>
      </c>
      <c r="J18" s="255"/>
    </row>
    <row r="19" spans="1:10" ht="19.5" thickBot="1" x14ac:dyDescent="0.35">
      <c r="A19" s="158" t="s">
        <v>16</v>
      </c>
      <c r="B19" s="243">
        <v>8</v>
      </c>
      <c r="C19" s="1"/>
      <c r="D19" s="157" t="s">
        <v>167</v>
      </c>
      <c r="E19" s="166">
        <f>H25*H24</f>
        <v>50941413.338810503</v>
      </c>
      <c r="F19" s="115"/>
      <c r="G19" s="158" t="s">
        <v>77</v>
      </c>
      <c r="H19" s="240">
        <f>cyprus_houses!H27</f>
        <v>12.063845122793797</v>
      </c>
      <c r="I19" s="158" t="s">
        <v>77</v>
      </c>
      <c r="J19" s="240">
        <f>cyprus_houses!H46</f>
        <v>13.118096646974026</v>
      </c>
    </row>
    <row r="20" spans="1:10" ht="19.5" thickBot="1" x14ac:dyDescent="0.35">
      <c r="A20" s="158" t="s">
        <v>17</v>
      </c>
      <c r="B20" s="243">
        <v>22</v>
      </c>
      <c r="C20" s="1"/>
      <c r="D20" s="157" t="s">
        <v>168</v>
      </c>
      <c r="E20" s="166">
        <f>J25*J24</f>
        <v>51302786.019454345</v>
      </c>
      <c r="F20" s="115"/>
      <c r="G20" s="157" t="s">
        <v>78</v>
      </c>
      <c r="H20" s="240">
        <f>cyprus_houses!H28</f>
        <v>1.2084376399150429</v>
      </c>
      <c r="I20" s="158" t="s">
        <v>78</v>
      </c>
      <c r="J20" s="240">
        <f>cyprus_houses!H47</f>
        <v>1.6276435440065367</v>
      </c>
    </row>
    <row r="21" spans="1:10" ht="19.5" thickBot="1" x14ac:dyDescent="0.35">
      <c r="A21" s="158" t="s">
        <v>18</v>
      </c>
      <c r="B21" s="165">
        <f>B20*B19</f>
        <v>176</v>
      </c>
      <c r="C21" s="1"/>
      <c r="F21" s="115"/>
      <c r="G21" s="157" t="s">
        <v>170</v>
      </c>
      <c r="H21" s="244">
        <v>371038</v>
      </c>
      <c r="I21" s="157" t="s">
        <v>160</v>
      </c>
      <c r="J21" s="244">
        <v>17066</v>
      </c>
    </row>
    <row r="22" spans="1:10" ht="19.5" thickBot="1" x14ac:dyDescent="0.35">
      <c r="A22" s="158" t="s">
        <v>20</v>
      </c>
      <c r="B22" s="165">
        <f>B18/12</f>
        <v>0</v>
      </c>
      <c r="C22" s="1"/>
      <c r="F22" s="115"/>
      <c r="G22" s="157" t="s">
        <v>169</v>
      </c>
      <c r="H22" s="244" t="s">
        <v>155</v>
      </c>
      <c r="I22" s="226" t="s">
        <v>169</v>
      </c>
      <c r="J22" s="244" t="s">
        <v>155</v>
      </c>
    </row>
    <row r="23" spans="1:10" ht="19.5" thickBot="1" x14ac:dyDescent="0.35">
      <c r="A23" s="158" t="s">
        <v>19</v>
      </c>
      <c r="B23" s="165">
        <f>B22/B21</f>
        <v>0</v>
      </c>
      <c r="C23" s="1"/>
      <c r="F23" s="115"/>
      <c r="G23" s="157" t="s">
        <v>55</v>
      </c>
      <c r="H23" s="244">
        <v>5000000</v>
      </c>
      <c r="I23" s="157" t="s">
        <v>55</v>
      </c>
      <c r="J23" s="244">
        <v>5000000</v>
      </c>
    </row>
    <row r="24" spans="1:10" ht="19.5" thickBot="1" x14ac:dyDescent="0.35">
      <c r="C24" s="1"/>
      <c r="F24" s="115"/>
      <c r="G24" s="157" t="s">
        <v>151</v>
      </c>
      <c r="H24" s="256">
        <v>5.0000000000000001E-3</v>
      </c>
      <c r="I24" s="157" t="s">
        <v>151</v>
      </c>
      <c r="J24" s="256">
        <v>5.0000000000000001E-3</v>
      </c>
    </row>
    <row r="25" spans="1:10" ht="19.5" thickBot="1" x14ac:dyDescent="0.35">
      <c r="C25" s="1"/>
      <c r="F25" s="115"/>
      <c r="G25" s="157" t="s">
        <v>152</v>
      </c>
      <c r="H25" s="156">
        <f>IF(H22=budget_housing!E1,SUM(budget_housing!I2:I39),SUM(budget_housing!J2:J39))</f>
        <v>10188282667.7621</v>
      </c>
      <c r="I25" s="157" t="s">
        <v>152</v>
      </c>
      <c r="J25" s="156">
        <f>IF(
J22=budget_housing_legal!E1,
SUM(budget_housing_legal!I2:I39),
SUM(budget_housing_legal!J2:J39)
)</f>
        <v>10260557203.890869</v>
      </c>
    </row>
    <row r="26" spans="1:10" ht="18.75" x14ac:dyDescent="0.3">
      <c r="C26" s="1"/>
    </row>
    <row r="27" spans="1:10" ht="18.75" x14ac:dyDescent="0.3">
      <c r="C27" s="1"/>
      <c r="F27" s="1"/>
    </row>
    <row r="28" spans="1:10" ht="18.75" x14ac:dyDescent="0.3">
      <c r="C28" s="1"/>
      <c r="F28" s="1"/>
    </row>
    <row r="29" spans="1:10" ht="18.75" x14ac:dyDescent="0.3">
      <c r="C29" s="1"/>
      <c r="D29" s="1"/>
      <c r="E29" s="1"/>
      <c r="F29" s="1"/>
      <c r="I29" s="1"/>
    </row>
  </sheetData>
  <mergeCells count="2">
    <mergeCell ref="G18:H18"/>
    <mergeCell ref="I18:J18"/>
  </mergeCells>
  <conditionalFormatting sqref="E17:E18">
    <cfRule type="cellIs" dxfId="13" priority="9" operator="greaterThan">
      <formula>0</formula>
    </cfRule>
    <cfRule type="cellIs" dxfId="12" priority="10" operator="lessThan">
      <formula>0</formula>
    </cfRule>
  </conditionalFormatting>
  <conditionalFormatting sqref="E16">
    <cfRule type="cellIs" dxfId="11" priority="7" operator="greaterThan">
      <formula>0</formula>
    </cfRule>
    <cfRule type="cellIs" dxfId="10" priority="8" operator="lessThan">
      <formula>0</formula>
    </cfRule>
  </conditionalFormatting>
  <conditionalFormatting sqref="E19:E20">
    <cfRule type="cellIs" dxfId="9" priority="5" operator="greaterThan">
      <formula>0</formula>
    </cfRule>
    <cfRule type="cellIs" dxfId="8" priority="6" operator="lessThan">
      <formula>0</formula>
    </cfRule>
  </conditionalFormatting>
  <conditionalFormatting sqref="E20">
    <cfRule type="cellIs" dxfId="7" priority="1" operator="greaterThan">
      <formula>0</formula>
    </cfRule>
    <cfRule type="cellIs" dxfId="6" priority="2" operator="lessThan">
      <formula>0</formula>
    </cfRule>
  </conditionalFormatting>
  <hyperlinks>
    <hyperlink ref="A4" r:id="rId1" xr:uid="{61A0FC31-1C95-4C06-AEBE-EEA21C79715C}"/>
    <hyperlink ref="A5" r:id="rId2" xr:uid="{D6F7D06F-99B2-4C20-B842-BDF5802D27E7}"/>
    <hyperlink ref="A3" r:id="rId3" xr:uid="{E9CBF228-E2A3-42E9-BF70-2EF785A3232D}"/>
    <hyperlink ref="A6" r:id="rId4" location=":~:text=Main%20statistical%20findings-,The%20marital%20status%20in%20Cyprus%2C%20as%20recorded%20at%20the%20Census,widowed%20and%204.9%20%25%20were%20divorced." xr:uid="{E1447967-E611-4266-8F7E-94777949E68D}"/>
    <hyperlink ref="B3" r:id="rId5" xr:uid="{762CFD06-24E1-4DE0-8E2F-C2720DC3630A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F95BAC-4B2A-4D1D-96B9-9066F8D7B768}">
          <x14:formula1>
            <xm:f>budget_housing!$E$1:$F$1</xm:f>
          </x14:formula1>
          <xm:sqref>H22</xm:sqref>
        </x14:dataValidation>
        <x14:dataValidation type="list" allowBlank="1" showInputMessage="1" showErrorMessage="1" xr:uid="{6FFEBECA-0144-4EED-BDF4-1E17E5B5B271}">
          <x14:formula1>
            <xm:f>budget_housing_legal!$E$1:$F$1</xm:f>
          </x14:formula1>
          <xm:sqref>J22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B936-5E09-41EC-ADB3-0EE8EC2B4E1D}">
  <sheetPr>
    <tabColor theme="9" tint="0.79998168889431442"/>
  </sheetPr>
  <dimension ref="A1:K40"/>
  <sheetViews>
    <sheetView topLeftCell="A3" workbookViewId="0">
      <selection activeCell="J4" sqref="J4"/>
    </sheetView>
  </sheetViews>
  <sheetFormatPr defaultRowHeight="19.5" thickBottom="1" x14ac:dyDescent="0.35"/>
  <cols>
    <col min="1" max="2" width="18.140625" style="119" bestFit="1" customWidth="1"/>
    <col min="3" max="3" width="9.7109375" style="119" bestFit="1" customWidth="1"/>
    <col min="4" max="4" width="6.85546875" style="119" bestFit="1" customWidth="1"/>
    <col min="5" max="5" width="18.140625" bestFit="1" customWidth="1"/>
    <col min="6" max="6" width="18.140625" style="119" bestFit="1" customWidth="1"/>
    <col min="7" max="7" width="15.5703125" style="166" bestFit="1" customWidth="1"/>
    <col min="8" max="8" width="12.85546875" style="119" bestFit="1" customWidth="1"/>
    <col min="9" max="9" width="21.85546875" bestFit="1" customWidth="1"/>
    <col min="10" max="10" width="24.85546875" style="119" bestFit="1" customWidth="1"/>
    <col min="12" max="16384" width="9.140625" style="119"/>
  </cols>
  <sheetData>
    <row r="1" spans="1:10" ht="15" x14ac:dyDescent="0.25">
      <c r="A1" s="227" t="s">
        <v>148</v>
      </c>
      <c r="B1" s="227" t="s">
        <v>149</v>
      </c>
      <c r="C1" s="227" t="s">
        <v>10</v>
      </c>
      <c r="D1" s="227" t="s">
        <v>23</v>
      </c>
      <c r="E1" s="227" t="s">
        <v>155</v>
      </c>
      <c r="F1" s="227" t="s">
        <v>156</v>
      </c>
      <c r="G1" s="228" t="s">
        <v>157</v>
      </c>
      <c r="H1" s="227" t="s">
        <v>161</v>
      </c>
      <c r="I1" s="228" t="s">
        <v>153</v>
      </c>
      <c r="J1" s="228" t="s">
        <v>154</v>
      </c>
    </row>
    <row r="2" spans="1:10" ht="15" x14ac:dyDescent="0.25">
      <c r="A2" s="232">
        <v>0</v>
      </c>
      <c r="B2" s="232">
        <v>4000</v>
      </c>
      <c r="C2" s="233">
        <f>_xlfn.LOGNORM.DIST(B2,output!$J$19,output!$J$20,TRUE)</f>
        <v>1.5192161037696262E-3</v>
      </c>
      <c r="D2" s="233">
        <f>C2</f>
        <v>1.5192161037696262E-3</v>
      </c>
      <c r="E2" s="232">
        <f>IF(B2&lt;output!$J$23,0,AVERAGE(A2:B2))</f>
        <v>0</v>
      </c>
      <c r="F2" s="232">
        <f>MAX(B2-output!$J$23,0)</f>
        <v>0</v>
      </c>
      <c r="G2" s="234">
        <f>(output!$J$24*F2)/(AVERAGE(A2:B2))</f>
        <v>0</v>
      </c>
      <c r="H2" s="232">
        <f>D2*output!$J$21</f>
        <v>25.926942026932441</v>
      </c>
      <c r="I2" s="235">
        <f t="shared" ref="I2:I39" si="0">E2*H2</f>
        <v>0</v>
      </c>
      <c r="J2" s="232">
        <f t="shared" ref="J2:J39" si="1">H2*F2</f>
        <v>0</v>
      </c>
    </row>
    <row r="3" spans="1:10" ht="15" x14ac:dyDescent="0.25">
      <c r="A3" s="232">
        <f>B2</f>
        <v>4000</v>
      </c>
      <c r="B3" s="232">
        <f>B2*1.25</f>
        <v>5000</v>
      </c>
      <c r="C3" s="233">
        <f>_xlfn.LOGNORM.DIST(B3,output!$J$19,output!$J$20,TRUE)</f>
        <v>2.3513222531766787E-3</v>
      </c>
      <c r="D3" s="233">
        <f>C3-C2</f>
        <v>8.3210614940705248E-4</v>
      </c>
      <c r="E3" s="232">
        <f>IF(B3&lt;output!$J$23,0,AVERAGE(A3:B3))</f>
        <v>0</v>
      </c>
      <c r="F3" s="232">
        <f>MAX(B3-output!$J$23,0)</f>
        <v>0</v>
      </c>
      <c r="G3" s="234">
        <f>(output!$J$24*F3)/(AVERAGE(A3:B3))</f>
        <v>0</v>
      </c>
      <c r="H3" s="232">
        <f>D3*output!$J$21</f>
        <v>14.200723545780757</v>
      </c>
      <c r="I3" s="235">
        <f t="shared" si="0"/>
        <v>0</v>
      </c>
      <c r="J3" s="232">
        <f t="shared" si="1"/>
        <v>0</v>
      </c>
    </row>
    <row r="4" spans="1:10" ht="15" x14ac:dyDescent="0.25">
      <c r="A4" s="232">
        <f t="shared" ref="A4:A39" si="2">B3</f>
        <v>5000</v>
      </c>
      <c r="B4" s="232">
        <f t="shared" ref="B4:B39" si="3">B3*1.25</f>
        <v>6250</v>
      </c>
      <c r="C4" s="233">
        <f>_xlfn.LOGNORM.DIST(B4,output!$J$19,output!$J$20,TRUE)</f>
        <v>3.5765574181357402E-3</v>
      </c>
      <c r="D4" s="233">
        <f t="shared" ref="D4:D39" si="4">C4-C3</f>
        <v>1.2252351649590615E-3</v>
      </c>
      <c r="E4" s="232">
        <f>IF(B4&lt;output!$J$23,0,AVERAGE(A4:B4))</f>
        <v>0</v>
      </c>
      <c r="F4" s="232">
        <f>MAX(B4-output!$J$23,0)</f>
        <v>0</v>
      </c>
      <c r="G4" s="234">
        <f>(output!$J$24*F4)/(AVERAGE(A4:B4))</f>
        <v>0</v>
      </c>
      <c r="H4" s="232">
        <f>D4*output!$J$21</f>
        <v>20.909863325191342</v>
      </c>
      <c r="I4" s="235">
        <f t="shared" si="0"/>
        <v>0</v>
      </c>
      <c r="J4" s="232">
        <f t="shared" si="1"/>
        <v>0</v>
      </c>
    </row>
    <row r="5" spans="1:10" ht="15" x14ac:dyDescent="0.25">
      <c r="A5" s="232">
        <f t="shared" si="2"/>
        <v>6250</v>
      </c>
      <c r="B5" s="232">
        <f t="shared" si="3"/>
        <v>7812.5</v>
      </c>
      <c r="C5" s="233">
        <f>_xlfn.LOGNORM.DIST(B5,output!$J$19,output!$J$20,TRUE)</f>
        <v>5.3471153853963584E-3</v>
      </c>
      <c r="D5" s="233">
        <f t="shared" si="4"/>
        <v>1.7705579672606182E-3</v>
      </c>
      <c r="E5" s="232">
        <f>IF(B5&lt;output!$J$23,0,AVERAGE(A5:B5))</f>
        <v>0</v>
      </c>
      <c r="F5" s="232">
        <f>MAX(B5-output!$J$23,0)</f>
        <v>0</v>
      </c>
      <c r="G5" s="234">
        <f>(output!$J$24*F5)/(AVERAGE(A5:B5))</f>
        <v>0</v>
      </c>
      <c r="H5" s="232">
        <f>D5*output!$J$21</f>
        <v>30.21634226926971</v>
      </c>
      <c r="I5" s="235">
        <f t="shared" si="0"/>
        <v>0</v>
      </c>
      <c r="J5" s="232">
        <f t="shared" si="1"/>
        <v>0</v>
      </c>
    </row>
    <row r="6" spans="1:10" ht="15" x14ac:dyDescent="0.25">
      <c r="A6" s="232">
        <f t="shared" si="2"/>
        <v>7812.5</v>
      </c>
      <c r="B6" s="232">
        <f t="shared" si="3"/>
        <v>9765.625</v>
      </c>
      <c r="C6" s="233">
        <f>_xlfn.LOGNORM.DIST(B6,output!$J$19,output!$J$20,TRUE)</f>
        <v>7.8581392001890685E-3</v>
      </c>
      <c r="D6" s="233">
        <f t="shared" si="4"/>
        <v>2.5110238147927101E-3</v>
      </c>
      <c r="E6" s="232">
        <f>IF(B6&lt;output!$J$23,0,AVERAGE(A6:B6))</f>
        <v>0</v>
      </c>
      <c r="F6" s="232">
        <f>MAX(B6-output!$J$23,0)</f>
        <v>0</v>
      </c>
      <c r="G6" s="234">
        <f>(output!$J$24*F6)/(AVERAGE(A6:B6))</f>
        <v>0</v>
      </c>
      <c r="H6" s="232">
        <f>D6*output!$J$21</f>
        <v>42.85313242325239</v>
      </c>
      <c r="I6" s="235">
        <f t="shared" si="0"/>
        <v>0</v>
      </c>
      <c r="J6" s="232">
        <f t="shared" si="1"/>
        <v>0</v>
      </c>
    </row>
    <row r="7" spans="1:10" ht="15" x14ac:dyDescent="0.25">
      <c r="A7" s="232">
        <f t="shared" si="2"/>
        <v>9765.625</v>
      </c>
      <c r="B7" s="232">
        <f t="shared" si="3"/>
        <v>12207.03125</v>
      </c>
      <c r="C7" s="233">
        <f>_xlfn.LOGNORM.DIST(B7,output!$J$19,output!$J$20,TRUE)</f>
        <v>1.1353093539797712E-2</v>
      </c>
      <c r="D7" s="233">
        <f t="shared" si="4"/>
        <v>3.4949543396086431E-3</v>
      </c>
      <c r="E7" s="232">
        <f>IF(B7&lt;output!$J$23,0,AVERAGE(A7:B7))</f>
        <v>0</v>
      </c>
      <c r="F7" s="232">
        <f>MAX(B7-output!$J$23,0)</f>
        <v>0</v>
      </c>
      <c r="G7" s="234">
        <f>(output!$J$24*F7)/(AVERAGE(A7:B7))</f>
        <v>0</v>
      </c>
      <c r="H7" s="232">
        <f>D7*output!$J$21</f>
        <v>59.644890759761104</v>
      </c>
      <c r="I7" s="235">
        <f t="shared" si="0"/>
        <v>0</v>
      </c>
      <c r="J7" s="232">
        <f t="shared" si="1"/>
        <v>0</v>
      </c>
    </row>
    <row r="8" spans="1:10" ht="15" x14ac:dyDescent="0.25">
      <c r="A8" s="232">
        <f t="shared" si="2"/>
        <v>12207.03125</v>
      </c>
      <c r="B8" s="232">
        <f t="shared" si="3"/>
        <v>15258.7890625</v>
      </c>
      <c r="C8" s="233">
        <f>_xlfn.LOGNORM.DIST(B8,output!$J$19,output!$J$20,TRUE)</f>
        <v>1.6127090977332708E-2</v>
      </c>
      <c r="D8" s="233">
        <f t="shared" si="4"/>
        <v>4.7739974375349964E-3</v>
      </c>
      <c r="E8" s="232">
        <f>IF(B8&lt;output!$J$23,0,AVERAGE(A8:B8))</f>
        <v>0</v>
      </c>
      <c r="F8" s="232">
        <f>MAX(B8-output!$J$23,0)</f>
        <v>0</v>
      </c>
      <c r="G8" s="234">
        <f>(output!$J$24*F8)/(AVERAGE(A8:B8))</f>
        <v>0</v>
      </c>
      <c r="H8" s="232">
        <f>D8*output!$J$21</f>
        <v>81.473040268972255</v>
      </c>
      <c r="I8" s="235">
        <f t="shared" si="0"/>
        <v>0</v>
      </c>
      <c r="J8" s="232">
        <f t="shared" si="1"/>
        <v>0</v>
      </c>
    </row>
    <row r="9" spans="1:10" ht="15" x14ac:dyDescent="0.25">
      <c r="A9" s="232">
        <f t="shared" si="2"/>
        <v>15258.7890625</v>
      </c>
      <c r="B9" s="232">
        <f t="shared" si="3"/>
        <v>19073.486328125</v>
      </c>
      <c r="C9" s="233">
        <f>_xlfn.LOGNORM.DIST(B9,output!$J$19,output!$J$20,TRUE)</f>
        <v>2.252698621802712E-2</v>
      </c>
      <c r="D9" s="233">
        <f t="shared" si="4"/>
        <v>6.3998952406944115E-3</v>
      </c>
      <c r="E9" s="232">
        <f>IF(B9&lt;output!$J$23,0,AVERAGE(A9:B9))</f>
        <v>0</v>
      </c>
      <c r="F9" s="232">
        <f>MAX(B9-output!$J$23,0)</f>
        <v>0</v>
      </c>
      <c r="G9" s="234">
        <f>(output!$J$24*F9)/(AVERAGE(A9:B9))</f>
        <v>0</v>
      </c>
      <c r="H9" s="232">
        <f>D9*output!$J$21</f>
        <v>109.22061217769082</v>
      </c>
      <c r="I9" s="235">
        <f t="shared" si="0"/>
        <v>0</v>
      </c>
      <c r="J9" s="232">
        <f t="shared" si="1"/>
        <v>0</v>
      </c>
    </row>
    <row r="10" spans="1:10" ht="15" x14ac:dyDescent="0.25">
      <c r="A10" s="232">
        <f t="shared" si="2"/>
        <v>19073.486328125</v>
      </c>
      <c r="B10" s="232">
        <f t="shared" si="3"/>
        <v>23841.85791015625</v>
      </c>
      <c r="C10" s="233">
        <f>_xlfn.LOGNORM.DIST(B10,output!$J$19,output!$J$20,TRUE)</f>
        <v>3.0947014763925938E-2</v>
      </c>
      <c r="D10" s="233">
        <f t="shared" si="4"/>
        <v>8.4200285458988187E-3</v>
      </c>
      <c r="E10" s="232">
        <f>IF(B10&lt;output!$J$23,0,AVERAGE(A10:B10))</f>
        <v>0</v>
      </c>
      <c r="F10" s="232">
        <f>MAX(B10-output!$J$23,0)</f>
        <v>0</v>
      </c>
      <c r="G10" s="234">
        <f>(output!$J$24*F10)/(AVERAGE(A10:B10))</f>
        <v>0</v>
      </c>
      <c r="H10" s="232">
        <f>D10*output!$J$21</f>
        <v>143.69620716430924</v>
      </c>
      <c r="I10" s="235">
        <f t="shared" si="0"/>
        <v>0</v>
      </c>
      <c r="J10" s="232">
        <f t="shared" si="1"/>
        <v>0</v>
      </c>
    </row>
    <row r="11" spans="1:10" ht="15" x14ac:dyDescent="0.25">
      <c r="A11" s="232">
        <f t="shared" si="2"/>
        <v>23841.85791015625</v>
      </c>
      <c r="B11" s="232">
        <f t="shared" si="3"/>
        <v>29802.322387695313</v>
      </c>
      <c r="C11" s="233">
        <f>_xlfn.LOGNORM.DIST(B11,output!$J$19,output!$J$20,TRUE)</f>
        <v>4.1818885606648822E-2</v>
      </c>
      <c r="D11" s="233">
        <f t="shared" si="4"/>
        <v>1.0871870842722883E-2</v>
      </c>
      <c r="E11" s="232">
        <f>IF(B11&lt;output!$J$23,0,AVERAGE(A11:B11))</f>
        <v>0</v>
      </c>
      <c r="F11" s="232">
        <f>MAX(B11-output!$J$23,0)</f>
        <v>0</v>
      </c>
      <c r="G11" s="234">
        <f>(output!$J$24*F11)/(AVERAGE(A11:B11))</f>
        <v>0</v>
      </c>
      <c r="H11" s="232">
        <f>D11*output!$J$21</f>
        <v>185.53934780190872</v>
      </c>
      <c r="I11" s="235">
        <f t="shared" si="0"/>
        <v>0</v>
      </c>
      <c r="J11" s="232">
        <f t="shared" si="1"/>
        <v>0</v>
      </c>
    </row>
    <row r="12" spans="1:10" ht="15" x14ac:dyDescent="0.25">
      <c r="A12" s="232">
        <f t="shared" si="2"/>
        <v>29802.322387695313</v>
      </c>
      <c r="B12" s="232">
        <f t="shared" si="3"/>
        <v>37252.902984619141</v>
      </c>
      <c r="C12" s="233">
        <f>_xlfn.LOGNORM.DIST(B12,output!$J$19,output!$J$20,TRUE)</f>
        <v>5.5595580256715141E-2</v>
      </c>
      <c r="D12" s="233">
        <f t="shared" si="4"/>
        <v>1.3776694650066319E-2</v>
      </c>
      <c r="E12" s="232">
        <f>IF(B12&lt;output!$J$23,0,AVERAGE(A12:B12))</f>
        <v>0</v>
      </c>
      <c r="F12" s="232">
        <f>MAX(B12-output!$J$23,0)</f>
        <v>0</v>
      </c>
      <c r="G12" s="234">
        <f>(output!$J$24*F12)/(AVERAGE(A12:B12))</f>
        <v>0</v>
      </c>
      <c r="H12" s="232">
        <f>D12*output!$J$21</f>
        <v>235.11307089803179</v>
      </c>
      <c r="I12" s="235">
        <f t="shared" si="0"/>
        <v>0</v>
      </c>
      <c r="J12" s="232">
        <f t="shared" si="1"/>
        <v>0</v>
      </c>
    </row>
    <row r="13" spans="1:10" ht="15" x14ac:dyDescent="0.25">
      <c r="A13" s="232">
        <f t="shared" si="2"/>
        <v>37252.902984619141</v>
      </c>
      <c r="B13" s="232">
        <f t="shared" si="3"/>
        <v>46566.128730773926</v>
      </c>
      <c r="C13" s="233">
        <f>_xlfn.LOGNORM.DIST(B13,output!$J$19,output!$J$20,TRUE)</f>
        <v>7.2728674925191916E-2</v>
      </c>
      <c r="D13" s="233">
        <f t="shared" si="4"/>
        <v>1.7133094668476775E-2</v>
      </c>
      <c r="E13" s="232">
        <f>IF(B13&lt;output!$J$23,0,AVERAGE(A13:B13))</f>
        <v>0</v>
      </c>
      <c r="F13" s="232">
        <f>MAX(B13-output!$J$23,0)</f>
        <v>0</v>
      </c>
      <c r="G13" s="234">
        <f>(output!$J$24*F13)/(AVERAGE(A13:B13))</f>
        <v>0</v>
      </c>
      <c r="H13" s="232">
        <f>D13*output!$J$21</f>
        <v>292.39339361222466</v>
      </c>
      <c r="I13" s="235">
        <f t="shared" si="0"/>
        <v>0</v>
      </c>
      <c r="J13" s="232">
        <f t="shared" si="1"/>
        <v>0</v>
      </c>
    </row>
    <row r="14" spans="1:10" ht="15" x14ac:dyDescent="0.25">
      <c r="A14" s="232">
        <f t="shared" si="2"/>
        <v>46566.128730773926</v>
      </c>
      <c r="B14" s="232">
        <f t="shared" si="3"/>
        <v>58207.660913467407</v>
      </c>
      <c r="C14" s="233">
        <f>_xlfn.LOGNORM.DIST(B14,output!$J$19,output!$J$20,TRUE)</f>
        <v>9.363976319051999E-2</v>
      </c>
      <c r="D14" s="233">
        <f t="shared" si="4"/>
        <v>2.0911088265328073E-2</v>
      </c>
      <c r="E14" s="232">
        <f>IF(B14&lt;output!$J$23,0,AVERAGE(A14:B14))</f>
        <v>0</v>
      </c>
      <c r="F14" s="232">
        <f>MAX(B14-output!$J$23,0)</f>
        <v>0</v>
      </c>
      <c r="G14" s="234">
        <f>(output!$J$24*F14)/(AVERAGE(A14:B14))</f>
        <v>0</v>
      </c>
      <c r="H14" s="232">
        <f>D14*output!$J$21</f>
        <v>356.86863233608892</v>
      </c>
      <c r="I14" s="235">
        <f t="shared" si="0"/>
        <v>0</v>
      </c>
      <c r="J14" s="232">
        <f t="shared" si="1"/>
        <v>0</v>
      </c>
    </row>
    <row r="15" spans="1:10" ht="15" x14ac:dyDescent="0.25">
      <c r="A15" s="232">
        <f t="shared" si="2"/>
        <v>58207.660913467407</v>
      </c>
      <c r="B15" s="232">
        <f t="shared" si="3"/>
        <v>72759.576141834259</v>
      </c>
      <c r="C15" s="233">
        <f>_xlfn.LOGNORM.DIST(B15,output!$J$19,output!$J$20,TRUE)</f>
        <v>0.11868744278856833</v>
      </c>
      <c r="D15" s="233">
        <f t="shared" si="4"/>
        <v>2.5047679598048336E-2</v>
      </c>
      <c r="E15" s="232">
        <f>IF(B15&lt;output!$J$23,0,AVERAGE(A15:B15))</f>
        <v>0</v>
      </c>
      <c r="F15" s="232">
        <f>MAX(B15-output!$J$23,0)</f>
        <v>0</v>
      </c>
      <c r="G15" s="234">
        <f>(output!$J$24*F15)/(AVERAGE(A15:B15))</f>
        <v>0</v>
      </c>
      <c r="H15" s="232">
        <f>D15*output!$J$21</f>
        <v>427.46370002029289</v>
      </c>
      <c r="I15" s="235">
        <f t="shared" si="0"/>
        <v>0</v>
      </c>
      <c r="J15" s="232">
        <f t="shared" si="1"/>
        <v>0</v>
      </c>
    </row>
    <row r="16" spans="1:10" ht="15" x14ac:dyDescent="0.25">
      <c r="A16" s="232">
        <f t="shared" si="2"/>
        <v>72759.576141834259</v>
      </c>
      <c r="B16" s="232">
        <f t="shared" si="3"/>
        <v>90949.470177292824</v>
      </c>
      <c r="C16" s="233">
        <f>_xlfn.LOGNORM.DIST(B16,output!$J$19,output!$J$20,TRUE)</f>
        <v>0.14813222939518539</v>
      </c>
      <c r="D16" s="233">
        <f t="shared" si="4"/>
        <v>2.9444786606617063E-2</v>
      </c>
      <c r="E16" s="232">
        <f>IF(B16&lt;output!$J$23,0,AVERAGE(A16:B16))</f>
        <v>0</v>
      </c>
      <c r="F16" s="232">
        <f>MAX(B16-output!$J$23,0)</f>
        <v>0</v>
      </c>
      <c r="G16" s="234">
        <f>(output!$J$24*F16)/(AVERAGE(A16:B16))</f>
        <v>0</v>
      </c>
      <c r="H16" s="232">
        <f>D16*output!$J$21</f>
        <v>502.5047282285268</v>
      </c>
      <c r="I16" s="235">
        <f t="shared" si="0"/>
        <v>0</v>
      </c>
      <c r="J16" s="232">
        <f t="shared" si="1"/>
        <v>0</v>
      </c>
    </row>
    <row r="17" spans="1:10" ht="15" x14ac:dyDescent="0.25">
      <c r="A17" s="232">
        <f t="shared" si="2"/>
        <v>90949.470177292824</v>
      </c>
      <c r="B17" s="232">
        <f t="shared" si="3"/>
        <v>113686.83772161603</v>
      </c>
      <c r="C17" s="233">
        <f>_xlfn.LOGNORM.DIST(B17,output!$J$19,output!$J$20,TRUE)</f>
        <v>0.18210252881940608</v>
      </c>
      <c r="D17" s="233">
        <f t="shared" si="4"/>
        <v>3.3970299424220696E-2</v>
      </c>
      <c r="E17" s="232">
        <f>IF(B17&lt;output!$J$23,0,AVERAGE(A17:B17))</f>
        <v>0</v>
      </c>
      <c r="F17" s="232">
        <f>MAX(B17-output!$J$23,0)</f>
        <v>0</v>
      </c>
      <c r="G17" s="234">
        <f>(output!$J$24*F17)/(AVERAGE(A17:B17))</f>
        <v>0</v>
      </c>
      <c r="H17" s="232">
        <f>D17*output!$J$21</f>
        <v>579.73712997375037</v>
      </c>
      <c r="I17" s="235">
        <f t="shared" si="0"/>
        <v>0</v>
      </c>
      <c r="J17" s="232">
        <f t="shared" si="1"/>
        <v>0</v>
      </c>
    </row>
    <row r="18" spans="1:10" ht="15" x14ac:dyDescent="0.25">
      <c r="A18" s="232">
        <f t="shared" si="2"/>
        <v>113686.83772161603</v>
      </c>
      <c r="B18" s="232">
        <f t="shared" si="3"/>
        <v>142108.54715202004</v>
      </c>
      <c r="C18" s="233">
        <f>_xlfn.LOGNORM.DIST(B18,output!$J$19,output!$J$20,TRUE)</f>
        <v>0.22056528427414762</v>
      </c>
      <c r="D18" s="233">
        <f t="shared" si="4"/>
        <v>3.8462755454741537E-2</v>
      </c>
      <c r="E18" s="232">
        <f>IF(B18&lt;output!$J$23,0,AVERAGE(A18:B18))</f>
        <v>0</v>
      </c>
      <c r="F18" s="232">
        <f>MAX(B18-output!$J$23,0)</f>
        <v>0</v>
      </c>
      <c r="G18" s="234">
        <f>(output!$J$24*F18)/(AVERAGE(A18:B18))</f>
        <v>0</v>
      </c>
      <c r="H18" s="232">
        <f>D18*output!$J$21</f>
        <v>656.40538459061906</v>
      </c>
      <c r="I18" s="235">
        <f t="shared" si="0"/>
        <v>0</v>
      </c>
      <c r="J18" s="232">
        <f t="shared" si="1"/>
        <v>0</v>
      </c>
    </row>
    <row r="19" spans="1:10" ht="15" x14ac:dyDescent="0.25">
      <c r="A19" s="232">
        <f t="shared" si="2"/>
        <v>142108.54715202004</v>
      </c>
      <c r="B19" s="232">
        <f t="shared" si="3"/>
        <v>177635.68394002505</v>
      </c>
      <c r="C19" s="233">
        <f>_xlfn.LOGNORM.DIST(B19,output!$J$19,output!$J$20,TRUE)</f>
        <v>0.26330498438950184</v>
      </c>
      <c r="D19" s="233">
        <f t="shared" si="4"/>
        <v>4.2739700115354218E-2</v>
      </c>
      <c r="E19" s="232">
        <f>IF(B19&lt;output!$J$23,0,AVERAGE(A19:B19))</f>
        <v>0</v>
      </c>
      <c r="F19" s="232">
        <f>MAX(B19-output!$J$23,0)</f>
        <v>0</v>
      </c>
      <c r="G19" s="234">
        <f>(output!$J$24*F19)/(AVERAGE(A19:B19))</f>
        <v>0</v>
      </c>
      <c r="H19" s="232">
        <f>D19*output!$J$21</f>
        <v>729.39572216863507</v>
      </c>
      <c r="I19" s="235">
        <f t="shared" si="0"/>
        <v>0</v>
      </c>
      <c r="J19" s="232">
        <f t="shared" si="1"/>
        <v>0</v>
      </c>
    </row>
    <row r="20" spans="1:10" ht="15" x14ac:dyDescent="0.25">
      <c r="A20" s="232">
        <f t="shared" si="2"/>
        <v>177635.68394002505</v>
      </c>
      <c r="B20" s="232">
        <f t="shared" si="3"/>
        <v>222044.60492503131</v>
      </c>
      <c r="C20" s="233">
        <f>_xlfn.LOGNORM.DIST(B20,output!$J$19,output!$J$20,TRUE)</f>
        <v>0.30991428735322057</v>
      </c>
      <c r="D20" s="233">
        <f t="shared" si="4"/>
        <v>4.6609302963718735E-2</v>
      </c>
      <c r="E20" s="232">
        <f>IF(B20&lt;output!$J$23,0,AVERAGE(A20:B20))</f>
        <v>0</v>
      </c>
      <c r="F20" s="232">
        <f>MAX(B20-output!$J$23,0)</f>
        <v>0</v>
      </c>
      <c r="G20" s="234">
        <f>(output!$J$24*F20)/(AVERAGE(A20:B20))</f>
        <v>0</v>
      </c>
      <c r="H20" s="232">
        <f>D20*output!$J$21</f>
        <v>795.43436437882394</v>
      </c>
      <c r="I20" s="235">
        <f t="shared" si="0"/>
        <v>0</v>
      </c>
      <c r="J20" s="232">
        <f t="shared" si="1"/>
        <v>0</v>
      </c>
    </row>
    <row r="21" spans="1:10" ht="15" x14ac:dyDescent="0.25">
      <c r="A21" s="232">
        <f t="shared" si="2"/>
        <v>222044.60492503131</v>
      </c>
      <c r="B21" s="232">
        <f t="shared" si="3"/>
        <v>277555.75615628914</v>
      </c>
      <c r="C21" s="233">
        <f>_xlfn.LOGNORM.DIST(B21,output!$J$19,output!$J$20,TRUE)</f>
        <v>0.35979857886336275</v>
      </c>
      <c r="D21" s="233">
        <f t="shared" si="4"/>
        <v>4.9884291510142176E-2</v>
      </c>
      <c r="E21" s="232">
        <f>IF(B21&lt;output!$J$23,0,AVERAGE(A21:B21))</f>
        <v>0</v>
      </c>
      <c r="F21" s="232">
        <f>MAX(B21-output!$J$23,0)</f>
        <v>0</v>
      </c>
      <c r="G21" s="234">
        <f>(output!$J$24*F21)/(AVERAGE(A21:B21))</f>
        <v>0</v>
      </c>
      <c r="H21" s="232">
        <f>D21*output!$J$21</f>
        <v>851.32531891208635</v>
      </c>
      <c r="I21" s="235">
        <f t="shared" si="0"/>
        <v>0</v>
      </c>
      <c r="J21" s="232">
        <f t="shared" si="1"/>
        <v>0</v>
      </c>
    </row>
    <row r="22" spans="1:10" ht="15" x14ac:dyDescent="0.25">
      <c r="A22" s="232">
        <f t="shared" si="2"/>
        <v>277555.75615628914</v>
      </c>
      <c r="B22" s="232">
        <f t="shared" si="3"/>
        <v>346944.69519536139</v>
      </c>
      <c r="C22" s="233">
        <f>_xlfn.LOGNORM.DIST(B22,output!$J$19,output!$J$20,TRUE)</f>
        <v>0.41219541611301902</v>
      </c>
      <c r="D22" s="233">
        <f t="shared" si="4"/>
        <v>5.239683724965627E-2</v>
      </c>
      <c r="E22" s="232">
        <f>IF(B22&lt;output!$J$23,0,AVERAGE(A22:B22))</f>
        <v>0</v>
      </c>
      <c r="F22" s="232">
        <f>MAX(B22-output!$J$23,0)</f>
        <v>0</v>
      </c>
      <c r="G22" s="234">
        <f>(output!$J$24*F22)/(AVERAGE(A22:B22))</f>
        <v>0</v>
      </c>
      <c r="H22" s="232">
        <f>D22*output!$J$21</f>
        <v>894.20442450263386</v>
      </c>
      <c r="I22" s="235">
        <f t="shared" si="0"/>
        <v>0</v>
      </c>
      <c r="J22" s="232">
        <f t="shared" si="1"/>
        <v>0</v>
      </c>
    </row>
    <row r="23" spans="1:10" ht="15" x14ac:dyDescent="0.25">
      <c r="A23" s="232">
        <f t="shared" si="2"/>
        <v>346944.69519536139</v>
      </c>
      <c r="B23" s="232">
        <f t="shared" si="3"/>
        <v>433680.86899420177</v>
      </c>
      <c r="C23" s="233">
        <f>_xlfn.LOGNORM.DIST(B23,output!$J$19,output!$J$20,TRUE)</f>
        <v>0.46620818027256627</v>
      </c>
      <c r="D23" s="233">
        <f t="shared" si="4"/>
        <v>5.4012764159547255E-2</v>
      </c>
      <c r="E23" s="232">
        <f>IF(B23&lt;output!$J$23,0,AVERAGE(A23:B23))</f>
        <v>0</v>
      </c>
      <c r="F23" s="232">
        <f>MAX(B23-output!$J$23,0)</f>
        <v>0</v>
      </c>
      <c r="G23" s="234">
        <f>(output!$J$24*F23)/(AVERAGE(A23:B23))</f>
        <v>0</v>
      </c>
      <c r="H23" s="232">
        <f>D23*output!$J$21</f>
        <v>921.78183314683349</v>
      </c>
      <c r="I23" s="235">
        <f t="shared" si="0"/>
        <v>0</v>
      </c>
      <c r="J23" s="232">
        <f t="shared" si="1"/>
        <v>0</v>
      </c>
    </row>
    <row r="24" spans="1:10" ht="15" x14ac:dyDescent="0.25">
      <c r="A24" s="232">
        <f t="shared" si="2"/>
        <v>433680.86899420177</v>
      </c>
      <c r="B24" s="232">
        <f t="shared" si="3"/>
        <v>542101.08624275215</v>
      </c>
      <c r="C24" s="233">
        <f>_xlfn.LOGNORM.DIST(B24,output!$J$19,output!$J$20,TRUE)</f>
        <v>0.52085159106620238</v>
      </c>
      <c r="D24" s="233">
        <f t="shared" si="4"/>
        <v>5.4643410793636105E-2</v>
      </c>
      <c r="E24" s="232">
        <f>IF(B24&lt;output!$J$23,0,AVERAGE(A24:B24))</f>
        <v>0</v>
      </c>
      <c r="F24" s="232">
        <f>MAX(B24-output!$J$23,0)</f>
        <v>0</v>
      </c>
      <c r="G24" s="234">
        <f>(output!$J$24*F24)/(AVERAGE(A24:B24))</f>
        <v>0</v>
      </c>
      <c r="H24" s="232">
        <f>D24*output!$J$21</f>
        <v>932.5444486041938</v>
      </c>
      <c r="I24" s="235">
        <f t="shared" si="0"/>
        <v>0</v>
      </c>
      <c r="J24" s="232">
        <f t="shared" si="1"/>
        <v>0</v>
      </c>
    </row>
    <row r="25" spans="1:10" ht="15" x14ac:dyDescent="0.25">
      <c r="A25" s="232">
        <f t="shared" si="2"/>
        <v>542101.08624275215</v>
      </c>
      <c r="B25" s="232">
        <f t="shared" si="3"/>
        <v>677626.35780344019</v>
      </c>
      <c r="C25" s="233">
        <f>_xlfn.LOGNORM.DIST(B25,output!$J$19,output!$J$20,TRUE)</f>
        <v>0.57510527872769224</v>
      </c>
      <c r="D25" s="233">
        <f t="shared" si="4"/>
        <v>5.4253687661489858E-2</v>
      </c>
      <c r="E25" s="232">
        <f>IF(B25&lt;output!$J$23,0,AVERAGE(A25:B25))</f>
        <v>0</v>
      </c>
      <c r="F25" s="232">
        <f>MAX(B25-output!$J$23,0)</f>
        <v>0</v>
      </c>
      <c r="G25" s="234">
        <f>(output!$J$24*F25)/(AVERAGE(A25:B25))</f>
        <v>0</v>
      </c>
      <c r="H25" s="232">
        <f>D25*output!$J$21</f>
        <v>925.8934336309859</v>
      </c>
      <c r="I25" s="235">
        <f t="shared" si="0"/>
        <v>0</v>
      </c>
      <c r="J25" s="232">
        <f t="shared" si="1"/>
        <v>0</v>
      </c>
    </row>
    <row r="26" spans="1:10" ht="15" x14ac:dyDescent="0.25">
      <c r="A26" s="232">
        <f t="shared" si="2"/>
        <v>677626.35780344019</v>
      </c>
      <c r="B26" s="232">
        <f t="shared" si="3"/>
        <v>847032.94725430023</v>
      </c>
      <c r="C26" s="233">
        <f>_xlfn.LOGNORM.DIST(B26,output!$J$19,output!$J$20,TRUE)</f>
        <v>0.62797058982305676</v>
      </c>
      <c r="D26" s="233">
        <f t="shared" si="4"/>
        <v>5.286531109536452E-2</v>
      </c>
      <c r="E26" s="232">
        <f>IF(B26&lt;output!$J$23,0,AVERAGE(A26:B26))</f>
        <v>0</v>
      </c>
      <c r="F26" s="232">
        <f>MAX(B26-output!$J$23,0)</f>
        <v>0</v>
      </c>
      <c r="G26" s="234">
        <f>(output!$J$24*F26)/(AVERAGE(A26:B26))</f>
        <v>0</v>
      </c>
      <c r="H26" s="232">
        <f>D26*output!$J$21</f>
        <v>902.19939915349084</v>
      </c>
      <c r="I26" s="235">
        <f t="shared" si="0"/>
        <v>0</v>
      </c>
      <c r="J26" s="232">
        <f t="shared" si="1"/>
        <v>0</v>
      </c>
    </row>
    <row r="27" spans="1:10" ht="15" x14ac:dyDescent="0.25">
      <c r="A27" s="232">
        <f t="shared" si="2"/>
        <v>847032.94725430023</v>
      </c>
      <c r="B27" s="232">
        <f t="shared" si="3"/>
        <v>1058791.1840678754</v>
      </c>
      <c r="C27" s="233">
        <f>_xlfn.LOGNORM.DIST(B27,output!$J$19,output!$J$20,TRUE)</f>
        <v>0.6785253887501882</v>
      </c>
      <c r="D27" s="233">
        <f t="shared" si="4"/>
        <v>5.0554798927131439E-2</v>
      </c>
      <c r="E27" s="232">
        <f>IF(B27&lt;output!$J$23,0,AVERAGE(A27:B27))</f>
        <v>0</v>
      </c>
      <c r="F27" s="232">
        <f>MAX(B27-output!$J$23,0)</f>
        <v>0</v>
      </c>
      <c r="G27" s="234">
        <f>(output!$J$24*F27)/(AVERAGE(A27:B27))</f>
        <v>0</v>
      </c>
      <c r="H27" s="232">
        <f>D27*output!$J$21</f>
        <v>862.76819849042511</v>
      </c>
      <c r="I27" s="235">
        <f t="shared" si="0"/>
        <v>0</v>
      </c>
      <c r="J27" s="232">
        <f t="shared" si="1"/>
        <v>0</v>
      </c>
    </row>
    <row r="28" spans="1:10" ht="15" x14ac:dyDescent="0.25">
      <c r="A28" s="232">
        <f t="shared" si="2"/>
        <v>1058791.1840678754</v>
      </c>
      <c r="B28" s="232">
        <f t="shared" si="3"/>
        <v>1323488.9800848442</v>
      </c>
      <c r="C28" s="233">
        <f>_xlfn.LOGNORM.DIST(B28,output!$J$19,output!$J$20,TRUE)</f>
        <v>0.72597187411400366</v>
      </c>
      <c r="D28" s="233">
        <f t="shared" si="4"/>
        <v>4.744648536381546E-2</v>
      </c>
      <c r="E28" s="232">
        <f>IF(B28&lt;output!$J$23,0,AVERAGE(A28:B28))</f>
        <v>0</v>
      </c>
      <c r="F28" s="232">
        <f>MAX(B28-output!$J$23,0)</f>
        <v>0</v>
      </c>
      <c r="G28" s="234">
        <f>(output!$J$24*F28)/(AVERAGE(A28:B28))</f>
        <v>0</v>
      </c>
      <c r="H28" s="232">
        <f>D28*output!$J$21</f>
        <v>809.72171921887468</v>
      </c>
      <c r="I28" s="235">
        <f t="shared" si="0"/>
        <v>0</v>
      </c>
      <c r="J28" s="232">
        <f t="shared" si="1"/>
        <v>0</v>
      </c>
    </row>
    <row r="29" spans="1:10" ht="15" x14ac:dyDescent="0.25">
      <c r="A29" s="232">
        <f t="shared" si="2"/>
        <v>1323488.9800848442</v>
      </c>
      <c r="B29" s="232">
        <f t="shared" si="3"/>
        <v>1654361.2251060551</v>
      </c>
      <c r="C29" s="233">
        <f>_xlfn.LOGNORM.DIST(B29,output!$J$19,output!$J$20,TRUE)</f>
        <v>0.76967331639514391</v>
      </c>
      <c r="D29" s="233">
        <f t="shared" si="4"/>
        <v>4.3701442281140257E-2</v>
      </c>
      <c r="E29" s="232">
        <f>IF(B29&lt;output!$J$23,0,AVERAGE(A29:B29))</f>
        <v>0</v>
      </c>
      <c r="F29" s="232">
        <f>MAX(B29-output!$J$23,0)</f>
        <v>0</v>
      </c>
      <c r="G29" s="234">
        <f>(output!$J$24*F29)/(AVERAGE(A29:B29))</f>
        <v>0</v>
      </c>
      <c r="H29" s="232">
        <f>D29*output!$J$21</f>
        <v>745.80881396993959</v>
      </c>
      <c r="I29" s="235">
        <f t="shared" si="0"/>
        <v>0</v>
      </c>
      <c r="J29" s="232">
        <f t="shared" si="1"/>
        <v>0</v>
      </c>
    </row>
    <row r="30" spans="1:10" ht="15" x14ac:dyDescent="0.25">
      <c r="A30" s="232">
        <f t="shared" si="2"/>
        <v>1654361.2251060551</v>
      </c>
      <c r="B30" s="232">
        <f t="shared" si="3"/>
        <v>2067951.5313825689</v>
      </c>
      <c r="C30" s="233">
        <f>_xlfn.LOGNORM.DIST(B30,output!$J$19,output!$J$20,TRUE)</f>
        <v>0.80917699638141993</v>
      </c>
      <c r="D30" s="233">
        <f t="shared" si="4"/>
        <v>3.9503679986276019E-2</v>
      </c>
      <c r="E30" s="232">
        <f>IF(B30&lt;output!$J$23,0,AVERAGE(A30:B30))</f>
        <v>0</v>
      </c>
      <c r="F30" s="232">
        <f>MAX(B30-output!$J$23,0)</f>
        <v>0</v>
      </c>
      <c r="G30" s="234">
        <f>(output!$J$24*F30)/(AVERAGE(A30:B30))</f>
        <v>0</v>
      </c>
      <c r="H30" s="232">
        <f>D30*output!$J$21</f>
        <v>674.16980264578649</v>
      </c>
      <c r="I30" s="235">
        <f t="shared" si="0"/>
        <v>0</v>
      </c>
      <c r="J30" s="232">
        <f t="shared" si="1"/>
        <v>0</v>
      </c>
    </row>
    <row r="31" spans="1:10" ht="15" x14ac:dyDescent="0.25">
      <c r="A31" s="232">
        <f t="shared" si="2"/>
        <v>2067951.5313825689</v>
      </c>
      <c r="B31" s="232">
        <f t="shared" si="3"/>
        <v>2584939.4142282112</v>
      </c>
      <c r="C31" s="233">
        <f>_xlfn.LOGNORM.DIST(B31,output!$J$19,output!$J$20,TRUE)</f>
        <v>0.8442222653421092</v>
      </c>
      <c r="D31" s="233">
        <f t="shared" si="4"/>
        <v>3.5045268960689269E-2</v>
      </c>
      <c r="E31" s="232">
        <f>IF(B31&lt;output!$J$23,0,AVERAGE(A31:B31))</f>
        <v>0</v>
      </c>
      <c r="F31" s="232">
        <f>MAX(B31-output!$J$23,0)</f>
        <v>0</v>
      </c>
      <c r="G31" s="234">
        <f>(output!$J$24*F31)/(AVERAGE(A31:B31))</f>
        <v>0</v>
      </c>
      <c r="H31" s="232">
        <f>D31*output!$J$21</f>
        <v>598.0825600831231</v>
      </c>
      <c r="I31" s="235">
        <f t="shared" si="0"/>
        <v>0</v>
      </c>
      <c r="J31" s="232">
        <f t="shared" si="1"/>
        <v>0</v>
      </c>
    </row>
    <row r="32" spans="1:10" ht="15" x14ac:dyDescent="0.25">
      <c r="A32" s="232">
        <f t="shared" si="2"/>
        <v>2584939.4142282112</v>
      </c>
      <c r="B32" s="232">
        <f t="shared" si="3"/>
        <v>3231174.2677852642</v>
      </c>
      <c r="C32" s="233">
        <f>_xlfn.LOGNORM.DIST(B32,output!$J$19,output!$J$20,TRUE)</f>
        <v>0.8747343089387607</v>
      </c>
      <c r="D32" s="233">
        <f t="shared" si="4"/>
        <v>3.0512043596651495E-2</v>
      </c>
      <c r="E32" s="232">
        <f>IF(B32&lt;output!$J$23,0,AVERAGE(A32:B32))</f>
        <v>0</v>
      </c>
      <c r="F32" s="232">
        <f>MAX(B32-output!$J$23,0)</f>
        <v>0</v>
      </c>
      <c r="G32" s="234">
        <f>(output!$J$24*F32)/(AVERAGE(A32:B32))</f>
        <v>0</v>
      </c>
      <c r="H32" s="232">
        <f>D32*output!$J$21</f>
        <v>520.71853602045439</v>
      </c>
      <c r="I32" s="235">
        <f t="shared" si="0"/>
        <v>0</v>
      </c>
      <c r="J32" s="232">
        <f t="shared" si="1"/>
        <v>0</v>
      </c>
    </row>
    <row r="33" spans="1:10" ht="15" x14ac:dyDescent="0.25">
      <c r="A33" s="232">
        <f t="shared" si="2"/>
        <v>3231174.2677852642</v>
      </c>
      <c r="B33" s="232">
        <f t="shared" si="3"/>
        <v>4038967.8347315802</v>
      </c>
      <c r="C33" s="233">
        <f>_xlfn.LOGNORM.DIST(B33,output!$J$19,output!$J$20,TRUE)</f>
        <v>0.90080564259209772</v>
      </c>
      <c r="D33" s="233">
        <f t="shared" si="4"/>
        <v>2.6071333653337025E-2</v>
      </c>
      <c r="E33" s="232">
        <f>IF(B33&lt;output!$J$23,0,AVERAGE(A33:B33))</f>
        <v>0</v>
      </c>
      <c r="F33" s="232">
        <f>MAX(B33-output!$J$23,0)</f>
        <v>0</v>
      </c>
      <c r="G33" s="234">
        <f>(output!$J$24*F33)/(AVERAGE(A33:B33))</f>
        <v>0</v>
      </c>
      <c r="H33" s="232">
        <f>D33*output!$J$21</f>
        <v>444.93338012784966</v>
      </c>
      <c r="I33" s="235">
        <f t="shared" si="0"/>
        <v>0</v>
      </c>
      <c r="J33" s="232">
        <f t="shared" si="1"/>
        <v>0</v>
      </c>
    </row>
    <row r="34" spans="1:10" ht="15" x14ac:dyDescent="0.25">
      <c r="A34" s="232">
        <f t="shared" si="2"/>
        <v>4038967.8347315802</v>
      </c>
      <c r="B34" s="232">
        <f t="shared" si="3"/>
        <v>5048709.7934144754</v>
      </c>
      <c r="C34" s="233">
        <f>_xlfn.LOGNORM.DIST(B34,output!$J$19,output!$J$20,TRUE)</f>
        <v>0.92266841570755265</v>
      </c>
      <c r="D34" s="233">
        <f t="shared" si="4"/>
        <v>2.1862773115454925E-2</v>
      </c>
      <c r="E34" s="232">
        <f>IF(B34&lt;output!$J$23,0,AVERAGE(A34:B34))</f>
        <v>4543838.814073028</v>
      </c>
      <c r="F34" s="232">
        <f>MAX(B34-output!$J$23,0)</f>
        <v>48709.793414475396</v>
      </c>
      <c r="G34" s="234">
        <f>(output!$J$24*F34)/(AVERAGE(A34:B34))</f>
        <v>5.3599825398309718E-5</v>
      </c>
      <c r="H34" s="232">
        <f>D34*output!$J$21</f>
        <v>373.11008598835377</v>
      </c>
      <c r="I34" s="232">
        <f t="shared" si="0"/>
        <v>1695352090.6360068</v>
      </c>
      <c r="J34" s="232">
        <f t="shared" si="1"/>
        <v>18174115.209349863</v>
      </c>
    </row>
    <row r="35" spans="1:10" ht="15" x14ac:dyDescent="0.25">
      <c r="A35" s="232">
        <f t="shared" si="2"/>
        <v>5048709.7934144754</v>
      </c>
      <c r="B35" s="232">
        <f t="shared" si="3"/>
        <v>6310887.2417680938</v>
      </c>
      <c r="C35" s="233">
        <f>_xlfn.LOGNORM.DIST(B35,output!$J$19,output!$J$20,TRUE)</f>
        <v>0.94066115522221427</v>
      </c>
      <c r="D35" s="233">
        <f t="shared" si="4"/>
        <v>1.7992739514661626E-2</v>
      </c>
      <c r="E35" s="232">
        <f>IF(B35&lt;output!$J$23,0,AVERAGE(A35:B35))</f>
        <v>5679798.5175912846</v>
      </c>
      <c r="F35" s="232">
        <f>MAX(B35-output!$J$23,0)</f>
        <v>1310887.2417680938</v>
      </c>
      <c r="G35" s="234">
        <f>(output!$J$24*F35)/(AVERAGE(A35:B35))</f>
        <v>1.1539909714297584E-3</v>
      </c>
      <c r="H35" s="232">
        <f>D35*output!$J$21</f>
        <v>307.0640925572153</v>
      </c>
      <c r="I35" s="232">
        <f t="shared" si="0"/>
        <v>1744062177.7119844</v>
      </c>
      <c r="J35" s="232">
        <f t="shared" si="1"/>
        <v>402526401.33835059</v>
      </c>
    </row>
    <row r="36" spans="1:10" ht="15" x14ac:dyDescent="0.25">
      <c r="A36" s="232">
        <f t="shared" si="2"/>
        <v>6310887.2417680938</v>
      </c>
      <c r="B36" s="232">
        <f t="shared" si="3"/>
        <v>7888609.0522101168</v>
      </c>
      <c r="C36" s="233">
        <f>_xlfn.LOGNORM.DIST(B36,output!$J$19,output!$J$20,TRUE)</f>
        <v>0.95519362328800173</v>
      </c>
      <c r="D36" s="233">
        <f t="shared" si="4"/>
        <v>1.4532468065787452E-2</v>
      </c>
      <c r="E36" s="232">
        <f>IF(B36&lt;output!$J$23,0,AVERAGE(A36:B36))</f>
        <v>7099748.1469891053</v>
      </c>
      <c r="F36" s="232">
        <f>MAX(B36-output!$J$23,0)</f>
        <v>2888609.0522101168</v>
      </c>
      <c r="G36" s="234">
        <f>(output!$J$24*F36)/(AVERAGE(A36:B36))</f>
        <v>2.0343038882549179E-3</v>
      </c>
      <c r="H36" s="232">
        <f>D36*output!$J$21</f>
        <v>248.01110001072865</v>
      </c>
      <c r="I36" s="232">
        <f t="shared" si="0"/>
        <v>1760816347.7339005</v>
      </c>
      <c r="J36" s="232">
        <f t="shared" si="1"/>
        <v>716407108.53957939</v>
      </c>
    </row>
    <row r="37" spans="1:10" ht="15" x14ac:dyDescent="0.25">
      <c r="A37" s="232">
        <f t="shared" si="2"/>
        <v>7888609.0522101168</v>
      </c>
      <c r="B37" s="232">
        <f t="shared" si="3"/>
        <v>9860761.3152626455</v>
      </c>
      <c r="C37" s="233">
        <f>_xlfn.LOGNORM.DIST(B37,output!$J$19,output!$J$20,TRUE)</f>
        <v>0.96671306672911683</v>
      </c>
      <c r="D37" s="233">
        <f t="shared" si="4"/>
        <v>1.1519443441115107E-2</v>
      </c>
      <c r="E37" s="232">
        <f>IF(B37&lt;output!$J$23,0,AVERAGE(A37:B37))</f>
        <v>8874685.1837363802</v>
      </c>
      <c r="F37" s="232">
        <f>MAX(B37-output!$J$23,0)</f>
        <v>4860761.3152626455</v>
      </c>
      <c r="G37" s="234">
        <f>(output!$J$24*F37)/(AVERAGE(A37:B37))</f>
        <v>2.7385542217150454E-3</v>
      </c>
      <c r="H37" s="232">
        <f>D37*output!$J$21</f>
        <v>196.59082176607041</v>
      </c>
      <c r="I37" s="232">
        <f t="shared" si="0"/>
        <v>1744681653.1859045</v>
      </c>
      <c r="J37" s="232">
        <f t="shared" si="1"/>
        <v>955581061.37620866</v>
      </c>
    </row>
    <row r="38" spans="1:10" ht="15" x14ac:dyDescent="0.25">
      <c r="A38" s="232">
        <f t="shared" si="2"/>
        <v>9860761.3152626455</v>
      </c>
      <c r="B38" s="232">
        <f t="shared" si="3"/>
        <v>12325951.644078307</v>
      </c>
      <c r="C38" s="233">
        <f>_xlfn.LOGNORM.DIST(B38,output!$J$19,output!$J$20,TRUE)</f>
        <v>0.97567442097475454</v>
      </c>
      <c r="D38" s="233">
        <f t="shared" si="4"/>
        <v>8.9613542456377093E-3</v>
      </c>
      <c r="E38" s="232">
        <f>IF(B38&lt;output!$J$23,0,AVERAGE(A38:B38))</f>
        <v>11093356.479670476</v>
      </c>
      <c r="F38" s="232">
        <f>MAX(B38-output!$J$23,0)</f>
        <v>7325951.6440783069</v>
      </c>
      <c r="G38" s="234">
        <f>(output!$J$24*F38)/(AVERAGE(A38:B38))</f>
        <v>3.3019544884831473E-3</v>
      </c>
      <c r="H38" s="232">
        <f>D38*output!$J$21</f>
        <v>152.93447155605315</v>
      </c>
      <c r="I38" s="232">
        <f t="shared" si="0"/>
        <v>1696556611.0013223</v>
      </c>
      <c r="J38" s="232">
        <f t="shared" si="1"/>
        <v>1120390543.3323147</v>
      </c>
    </row>
    <row r="39" spans="1:10" ht="15" x14ac:dyDescent="0.25">
      <c r="A39" s="232">
        <f t="shared" si="2"/>
        <v>12325951.644078307</v>
      </c>
      <c r="B39" s="232">
        <f t="shared" si="3"/>
        <v>15407439.555097884</v>
      </c>
      <c r="C39" s="233">
        <f>_xlfn.LOGNORM.DIST(B39,output!$J$19,output!$J$20,TRUE)</f>
        <v>0.98251614918063468</v>
      </c>
      <c r="D39" s="233">
        <f t="shared" si="4"/>
        <v>6.8417282058801376E-3</v>
      </c>
      <c r="E39" s="232">
        <f>IF(B39&lt;output!$J$23,0,AVERAGE(A39:B39))</f>
        <v>13866695.599588096</v>
      </c>
      <c r="F39" s="232">
        <f>MAX(B39-output!$J$23,0)</f>
        <v>10407439.555097884</v>
      </c>
      <c r="G39" s="234">
        <f>(output!$J$24*F39)/(AVERAGE(A39:B39))</f>
        <v>3.7526747018976287E-3</v>
      </c>
      <c r="H39" s="232">
        <f>D39*output!$J$21</f>
        <v>116.76093356155043</v>
      </c>
      <c r="I39" s="232">
        <f t="shared" si="0"/>
        <v>1619088323.6217494</v>
      </c>
      <c r="J39" s="232">
        <f t="shared" si="1"/>
        <v>1215182358.4386361</v>
      </c>
    </row>
    <row r="40" spans="1:10" thickBot="1" x14ac:dyDescent="0.35">
      <c r="G40" s="167"/>
    </row>
  </sheetData>
  <conditionalFormatting sqref="G2:G1048576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7E22-C8B6-414B-A2D7-629D43458C29}">
  <sheetPr>
    <tabColor theme="9" tint="0.79998168889431442"/>
  </sheetPr>
  <dimension ref="A1:K40"/>
  <sheetViews>
    <sheetView topLeftCell="A3" workbookViewId="0">
      <selection activeCell="E1" sqref="E1:F1"/>
    </sheetView>
  </sheetViews>
  <sheetFormatPr defaultRowHeight="19.5" thickBottom="1" x14ac:dyDescent="0.35"/>
  <cols>
    <col min="1" max="2" width="18.140625" style="119" bestFit="1" customWidth="1"/>
    <col min="3" max="3" width="9.7109375" style="119" bestFit="1" customWidth="1"/>
    <col min="4" max="4" width="6.85546875" style="119" bestFit="1" customWidth="1"/>
    <col min="5" max="5" width="18.140625" bestFit="1" customWidth="1"/>
    <col min="6" max="6" width="18.140625" style="119" bestFit="1" customWidth="1"/>
    <col min="7" max="7" width="15.5703125" style="166" bestFit="1" customWidth="1"/>
    <col min="8" max="8" width="12.85546875" style="119" bestFit="1" customWidth="1"/>
    <col min="9" max="9" width="21.85546875" bestFit="1" customWidth="1"/>
    <col min="10" max="10" width="24.85546875" style="119" bestFit="1" customWidth="1"/>
    <col min="12" max="16384" width="9.140625" style="119"/>
  </cols>
  <sheetData>
    <row r="1" spans="1:10" ht="15" x14ac:dyDescent="0.25">
      <c r="A1" s="227" t="s">
        <v>148</v>
      </c>
      <c r="B1" s="227" t="s">
        <v>149</v>
      </c>
      <c r="C1" s="227" t="s">
        <v>10</v>
      </c>
      <c r="D1" s="227" t="s">
        <v>23</v>
      </c>
      <c r="E1" s="245" t="s">
        <v>155</v>
      </c>
      <c r="F1" s="245" t="s">
        <v>156</v>
      </c>
      <c r="G1" s="228" t="s">
        <v>157</v>
      </c>
      <c r="H1" s="227" t="s">
        <v>150</v>
      </c>
      <c r="I1" s="228" t="s">
        <v>153</v>
      </c>
      <c r="J1" s="228" t="s">
        <v>154</v>
      </c>
    </row>
    <row r="2" spans="1:10" ht="15" x14ac:dyDescent="0.25">
      <c r="A2" s="232">
        <v>0</v>
      </c>
      <c r="B2" s="232">
        <v>4000</v>
      </c>
      <c r="C2" s="233">
        <f>_xlfn.LOGNORM.DIST(B2,output!$H$19,output!$H$20,TRUE)</f>
        <v>9.0560237136121406E-4</v>
      </c>
      <c r="D2" s="233">
        <f>C2</f>
        <v>9.0560237136121406E-4</v>
      </c>
      <c r="E2" s="232">
        <f>IF(B2&lt;output!$H$23,0,AVERAGE(A2:B2))</f>
        <v>0</v>
      </c>
      <c r="F2" s="232">
        <f>MAX(B2-output!$H$23,0)</f>
        <v>0</v>
      </c>
      <c r="G2" s="234">
        <f>(output!$H$24*F2)/(AVERAGE(A2:B2))</f>
        <v>0</v>
      </c>
      <c r="H2" s="232">
        <f>D2*output!$H$21</f>
        <v>336.01289266512214</v>
      </c>
      <c r="I2" s="235">
        <f t="shared" ref="I2:I39" si="0">E2*H2</f>
        <v>0</v>
      </c>
      <c r="J2" s="232">
        <f t="shared" ref="J2:J39" si="1">H2*F2</f>
        <v>0</v>
      </c>
    </row>
    <row r="3" spans="1:10" ht="15" x14ac:dyDescent="0.25">
      <c r="A3" s="232">
        <f>B2</f>
        <v>4000</v>
      </c>
      <c r="B3" s="232">
        <f>B2*1.25</f>
        <v>5000</v>
      </c>
      <c r="C3" s="233">
        <f>_xlfn.LOGNORM.DIST(B3,output!$H$19,output!$H$20,TRUE)</f>
        <v>1.668239054672907E-3</v>
      </c>
      <c r="D3" s="233">
        <f>C3-C2</f>
        <v>7.6263668331169295E-4</v>
      </c>
      <c r="E3" s="232">
        <f>IF(B3&lt;output!$H$23,0,AVERAGE(A3:B3))</f>
        <v>0</v>
      </c>
      <c r="F3" s="232">
        <f>MAX(B3-output!$H$23,0)</f>
        <v>0</v>
      </c>
      <c r="G3" s="234">
        <f>(output!$H$24*F3)/(AVERAGE(A3:B3))</f>
        <v>0</v>
      </c>
      <c r="H3" s="232">
        <f>D3*output!$H$21</f>
        <v>282.96718970260395</v>
      </c>
      <c r="I3" s="235">
        <f t="shared" si="0"/>
        <v>0</v>
      </c>
      <c r="J3" s="232">
        <f t="shared" si="1"/>
        <v>0</v>
      </c>
    </row>
    <row r="4" spans="1:10" ht="15" x14ac:dyDescent="0.25">
      <c r="A4" s="232">
        <f t="shared" ref="A4:A39" si="2">B3</f>
        <v>5000</v>
      </c>
      <c r="B4" s="232">
        <f t="shared" ref="B4:B39" si="3">B3*1.25</f>
        <v>6250</v>
      </c>
      <c r="C4" s="233">
        <f>_xlfn.LOGNORM.DIST(B4,output!$H$19,output!$H$20,TRUE)</f>
        <v>2.977469864263207E-3</v>
      </c>
      <c r="D4" s="233">
        <f t="shared" ref="D4:D39" si="4">C4-C3</f>
        <v>1.3092308095903E-3</v>
      </c>
      <c r="E4" s="232">
        <f>IF(B4&lt;output!$H$23,0,AVERAGE(A4:B4))</f>
        <v>0</v>
      </c>
      <c r="F4" s="232">
        <f>MAX(B4-output!$H$23,0)</f>
        <v>0</v>
      </c>
      <c r="G4" s="234">
        <f>(output!$H$24*F4)/(AVERAGE(A4:B4))</f>
        <v>0</v>
      </c>
      <c r="H4" s="232">
        <f>D4*output!$H$21</f>
        <v>485.7743811287657</v>
      </c>
      <c r="I4" s="235">
        <f t="shared" si="0"/>
        <v>0</v>
      </c>
      <c r="J4" s="232">
        <f t="shared" si="1"/>
        <v>0</v>
      </c>
    </row>
    <row r="5" spans="1:10" ht="15" x14ac:dyDescent="0.25">
      <c r="A5" s="232">
        <f t="shared" si="2"/>
        <v>6250</v>
      </c>
      <c r="B5" s="232">
        <f t="shared" si="3"/>
        <v>7812.5</v>
      </c>
      <c r="C5" s="233">
        <f>_xlfn.LOGNORM.DIST(B5,output!$H$19,output!$H$20,TRUE)</f>
        <v>5.1499105284576793E-3</v>
      </c>
      <c r="D5" s="233">
        <f t="shared" si="4"/>
        <v>2.1724406641944723E-3</v>
      </c>
      <c r="E5" s="232">
        <f>IF(B5&lt;output!$H$23,0,AVERAGE(A5:B5))</f>
        <v>0</v>
      </c>
      <c r="F5" s="232">
        <f>MAX(B5-output!$H$23,0)</f>
        <v>0</v>
      </c>
      <c r="G5" s="234">
        <f>(output!$H$24*F5)/(AVERAGE(A5:B5))</f>
        <v>0</v>
      </c>
      <c r="H5" s="232">
        <f>D5*output!$H$21</f>
        <v>806.05803916138859</v>
      </c>
      <c r="I5" s="235">
        <f t="shared" si="0"/>
        <v>0</v>
      </c>
      <c r="J5" s="232">
        <f t="shared" si="1"/>
        <v>0</v>
      </c>
    </row>
    <row r="6" spans="1:10" ht="15" x14ac:dyDescent="0.25">
      <c r="A6" s="232">
        <f t="shared" si="2"/>
        <v>7812.5</v>
      </c>
      <c r="B6" s="232">
        <f t="shared" si="3"/>
        <v>9765.625</v>
      </c>
      <c r="C6" s="233">
        <f>_xlfn.LOGNORM.DIST(B6,output!$H$19,output!$H$20,TRUE)</f>
        <v>8.6341891977290888E-3</v>
      </c>
      <c r="D6" s="233">
        <f t="shared" si="4"/>
        <v>3.4842786692714095E-3</v>
      </c>
      <c r="E6" s="232">
        <f>IF(B6&lt;output!$H$23,0,AVERAGE(A6:B6))</f>
        <v>0</v>
      </c>
      <c r="F6" s="232">
        <f>MAX(B6-output!$H$23,0)</f>
        <v>0</v>
      </c>
      <c r="G6" s="234">
        <f>(output!$H$24*F6)/(AVERAGE(A6:B6))</f>
        <v>0</v>
      </c>
      <c r="H6" s="232">
        <f>D6*output!$H$21</f>
        <v>1292.7997888891252</v>
      </c>
      <c r="I6" s="235">
        <f t="shared" si="0"/>
        <v>0</v>
      </c>
      <c r="J6" s="232">
        <f t="shared" si="1"/>
        <v>0</v>
      </c>
    </row>
    <row r="7" spans="1:10" ht="15" x14ac:dyDescent="0.25">
      <c r="A7" s="232">
        <f t="shared" si="2"/>
        <v>9765.625</v>
      </c>
      <c r="B7" s="232">
        <f t="shared" si="3"/>
        <v>12207.03125</v>
      </c>
      <c r="C7" s="233">
        <f>_xlfn.LOGNORM.DIST(B7,output!$H$19,output!$H$20,TRUE)</f>
        <v>1.4035649140310988E-2</v>
      </c>
      <c r="D7" s="233">
        <f t="shared" si="4"/>
        <v>5.4014599425818988E-3</v>
      </c>
      <c r="E7" s="232">
        <f>IF(B7&lt;output!$H$23,0,AVERAGE(A7:B7))</f>
        <v>0</v>
      </c>
      <c r="F7" s="232">
        <f>MAX(B7-output!$H$23,0)</f>
        <v>0</v>
      </c>
      <c r="G7" s="234">
        <f>(output!$H$24*F7)/(AVERAGE(A7:B7))</f>
        <v>0</v>
      </c>
      <c r="H7" s="232">
        <f>D7*output!$H$21</f>
        <v>2004.1468941757025</v>
      </c>
      <c r="I7" s="235">
        <f t="shared" si="0"/>
        <v>0</v>
      </c>
      <c r="J7" s="232">
        <f t="shared" si="1"/>
        <v>0</v>
      </c>
    </row>
    <row r="8" spans="1:10" ht="15" x14ac:dyDescent="0.25">
      <c r="A8" s="232">
        <f t="shared" si="2"/>
        <v>12207.03125</v>
      </c>
      <c r="B8" s="232">
        <f t="shared" si="3"/>
        <v>15258.7890625</v>
      </c>
      <c r="C8" s="233">
        <f>_xlfn.LOGNORM.DIST(B8,output!$H$19,output!$H$20,TRUE)</f>
        <v>2.2129269283886224E-2</v>
      </c>
      <c r="D8" s="233">
        <f t="shared" si="4"/>
        <v>8.0936201435752361E-3</v>
      </c>
      <c r="E8" s="232">
        <f>IF(B8&lt;output!$H$23,0,AVERAGE(A8:B8))</f>
        <v>0</v>
      </c>
      <c r="F8" s="232">
        <f>MAX(B8-output!$H$23,0)</f>
        <v>0</v>
      </c>
      <c r="G8" s="234">
        <f>(output!$H$24*F8)/(AVERAGE(A8:B8))</f>
        <v>0</v>
      </c>
      <c r="H8" s="232">
        <f>D8*output!$H$21</f>
        <v>3003.0406308318684</v>
      </c>
      <c r="I8" s="235">
        <f t="shared" si="0"/>
        <v>0</v>
      </c>
      <c r="J8" s="232">
        <f t="shared" si="1"/>
        <v>0</v>
      </c>
    </row>
    <row r="9" spans="1:10" ht="15" x14ac:dyDescent="0.25">
      <c r="A9" s="232">
        <f t="shared" si="2"/>
        <v>15258.7890625</v>
      </c>
      <c r="B9" s="232">
        <f t="shared" si="3"/>
        <v>19073.486328125</v>
      </c>
      <c r="C9" s="233">
        <f>_xlfn.LOGNORM.DIST(B9,output!$H$19,output!$H$20,TRUE)</f>
        <v>3.3851436544962733E-2</v>
      </c>
      <c r="D9" s="233">
        <f t="shared" si="4"/>
        <v>1.172216726107651E-2</v>
      </c>
      <c r="E9" s="232">
        <f>IF(B9&lt;output!$H$23,0,AVERAGE(A9:B9))</f>
        <v>0</v>
      </c>
      <c r="F9" s="232">
        <f>MAX(B9-output!$H$23,0)</f>
        <v>0</v>
      </c>
      <c r="G9" s="234">
        <f>(output!$H$24*F9)/(AVERAGE(A9:B9))</f>
        <v>0</v>
      </c>
      <c r="H9" s="232">
        <f>D9*output!$H$21</f>
        <v>4349.3694962153058</v>
      </c>
      <c r="I9" s="235">
        <f t="shared" si="0"/>
        <v>0</v>
      </c>
      <c r="J9" s="232">
        <f t="shared" si="1"/>
        <v>0</v>
      </c>
    </row>
    <row r="10" spans="1:10" ht="15" x14ac:dyDescent="0.25">
      <c r="A10" s="232">
        <f t="shared" si="2"/>
        <v>19073.486328125</v>
      </c>
      <c r="B10" s="232">
        <f t="shared" si="3"/>
        <v>23841.85791015625</v>
      </c>
      <c r="C10" s="233">
        <f>_xlfn.LOGNORM.DIST(B10,output!$H$19,output!$H$20,TRUE)</f>
        <v>5.0261357929152019E-2</v>
      </c>
      <c r="D10" s="233">
        <f t="shared" si="4"/>
        <v>1.6409921384189285E-2</v>
      </c>
      <c r="E10" s="232">
        <f>IF(B10&lt;output!$H$23,0,AVERAGE(A10:B10))</f>
        <v>0</v>
      </c>
      <c r="F10" s="232">
        <f>MAX(B10-output!$H$23,0)</f>
        <v>0</v>
      </c>
      <c r="G10" s="234">
        <f>(output!$H$24*F10)/(AVERAGE(A10:B10))</f>
        <v>0</v>
      </c>
      <c r="H10" s="232">
        <f>D10*output!$H$21</f>
        <v>6088.704410546824</v>
      </c>
      <c r="I10" s="235">
        <f t="shared" si="0"/>
        <v>0</v>
      </c>
      <c r="J10" s="232">
        <f t="shared" si="1"/>
        <v>0</v>
      </c>
    </row>
    <row r="11" spans="1:10" ht="15" x14ac:dyDescent="0.25">
      <c r="A11" s="232">
        <f t="shared" si="2"/>
        <v>23841.85791015625</v>
      </c>
      <c r="B11" s="232">
        <f t="shared" si="3"/>
        <v>29802.322387695313</v>
      </c>
      <c r="C11" s="233">
        <f>_xlfn.LOGNORM.DIST(B11,output!$H$19,output!$H$20,TRUE)</f>
        <v>7.2465736605232769E-2</v>
      </c>
      <c r="D11" s="233">
        <f t="shared" si="4"/>
        <v>2.2204378676080751E-2</v>
      </c>
      <c r="E11" s="232">
        <f>IF(B11&lt;output!$H$23,0,AVERAGE(A11:B11))</f>
        <v>0</v>
      </c>
      <c r="F11" s="232">
        <f>MAX(B11-output!$H$23,0)</f>
        <v>0</v>
      </c>
      <c r="G11" s="234">
        <f>(output!$H$24*F11)/(AVERAGE(A11:B11))</f>
        <v>0</v>
      </c>
      <c r="H11" s="232">
        <f>D11*output!$H$21</f>
        <v>8238.668255215649</v>
      </c>
      <c r="I11" s="235">
        <f t="shared" si="0"/>
        <v>0</v>
      </c>
      <c r="J11" s="232">
        <f t="shared" si="1"/>
        <v>0</v>
      </c>
    </row>
    <row r="12" spans="1:10" ht="15" x14ac:dyDescent="0.25">
      <c r="A12" s="232">
        <f t="shared" si="2"/>
        <v>29802.322387695313</v>
      </c>
      <c r="B12" s="232">
        <f t="shared" si="3"/>
        <v>37252.902984619141</v>
      </c>
      <c r="C12" s="233">
        <f>_xlfn.LOGNORM.DIST(B12,output!$H$19,output!$H$20,TRUE)</f>
        <v>0.10150625277520572</v>
      </c>
      <c r="D12" s="233">
        <f t="shared" si="4"/>
        <v>2.9040516169972955E-2</v>
      </c>
      <c r="E12" s="232">
        <f>IF(B12&lt;output!$H$23,0,AVERAGE(A12:B12))</f>
        <v>0</v>
      </c>
      <c r="F12" s="232">
        <f>MAX(B12-output!$H$23,0)</f>
        <v>0</v>
      </c>
      <c r="G12" s="234">
        <f>(output!$H$24*F12)/(AVERAGE(A12:B12))</f>
        <v>0</v>
      </c>
      <c r="H12" s="232">
        <f>D12*output!$H$21</f>
        <v>10775.135038674425</v>
      </c>
      <c r="I12" s="235">
        <f t="shared" si="0"/>
        <v>0</v>
      </c>
      <c r="J12" s="232">
        <f t="shared" si="1"/>
        <v>0</v>
      </c>
    </row>
    <row r="13" spans="1:10" ht="15" x14ac:dyDescent="0.25">
      <c r="A13" s="232">
        <f t="shared" si="2"/>
        <v>37252.902984619141</v>
      </c>
      <c r="B13" s="232">
        <f t="shared" si="3"/>
        <v>46566.128730773926</v>
      </c>
      <c r="C13" s="233">
        <f>_xlfn.LOGNORM.DIST(B13,output!$H$19,output!$H$20,TRUE)</f>
        <v>0.13821788187056178</v>
      </c>
      <c r="D13" s="233">
        <f t="shared" si="4"/>
        <v>3.6711629095356052E-2</v>
      </c>
      <c r="E13" s="232">
        <f>IF(B13&lt;output!$H$23,0,AVERAGE(A13:B13))</f>
        <v>0</v>
      </c>
      <c r="F13" s="232">
        <f>MAX(B13-output!$H$23,0)</f>
        <v>0</v>
      </c>
      <c r="G13" s="234">
        <f>(output!$H$24*F13)/(AVERAGE(A13:B13))</f>
        <v>0</v>
      </c>
      <c r="H13" s="232">
        <f>D13*output!$H$21</f>
        <v>13621.409436282718</v>
      </c>
      <c r="I13" s="235">
        <f t="shared" si="0"/>
        <v>0</v>
      </c>
      <c r="J13" s="232">
        <f t="shared" si="1"/>
        <v>0</v>
      </c>
    </row>
    <row r="14" spans="1:10" ht="15" x14ac:dyDescent="0.25">
      <c r="A14" s="232">
        <f t="shared" si="2"/>
        <v>46566.128730773926</v>
      </c>
      <c r="B14" s="232">
        <f t="shared" si="3"/>
        <v>58207.660913467407</v>
      </c>
      <c r="C14" s="233">
        <f>_xlfn.LOGNORM.DIST(B14,output!$H$19,output!$H$20,TRUE)</f>
        <v>0.18307554401549528</v>
      </c>
      <c r="D14" s="233">
        <f t="shared" si="4"/>
        <v>4.4857662144933502E-2</v>
      </c>
      <c r="E14" s="232">
        <f>IF(B14&lt;output!$H$23,0,AVERAGE(A14:B14))</f>
        <v>0</v>
      </c>
      <c r="F14" s="232">
        <f>MAX(B14-output!$H$23,0)</f>
        <v>0</v>
      </c>
      <c r="G14" s="234">
        <f>(output!$H$24*F14)/(AVERAGE(A14:B14))</f>
        <v>0</v>
      </c>
      <c r="H14" s="232">
        <f>D14*output!$H$21</f>
        <v>16643.897246931836</v>
      </c>
      <c r="I14" s="235">
        <f t="shared" si="0"/>
        <v>0</v>
      </c>
      <c r="J14" s="232">
        <f t="shared" si="1"/>
        <v>0</v>
      </c>
    </row>
    <row r="15" spans="1:10" ht="15" x14ac:dyDescent="0.25">
      <c r="A15" s="232">
        <f t="shared" si="2"/>
        <v>58207.660913467407</v>
      </c>
      <c r="B15" s="232">
        <f t="shared" si="3"/>
        <v>72759.576141834259</v>
      </c>
      <c r="C15" s="233">
        <f>_xlfn.LOGNORM.DIST(B15,output!$H$19,output!$H$20,TRUE)</f>
        <v>0.23605448783290472</v>
      </c>
      <c r="D15" s="233">
        <f t="shared" si="4"/>
        <v>5.2978943817409446E-2</v>
      </c>
      <c r="E15" s="232">
        <f>IF(B15&lt;output!$H$23,0,AVERAGE(A15:B15))</f>
        <v>0</v>
      </c>
      <c r="F15" s="232">
        <f>MAX(B15-output!$H$23,0)</f>
        <v>0</v>
      </c>
      <c r="G15" s="234">
        <f>(output!$H$24*F15)/(AVERAGE(A15:B15))</f>
        <v>0</v>
      </c>
      <c r="H15" s="232">
        <f>D15*output!$H$21</f>
        <v>19657.201356123966</v>
      </c>
      <c r="I15" s="235">
        <f t="shared" si="0"/>
        <v>0</v>
      </c>
      <c r="J15" s="232">
        <f t="shared" si="1"/>
        <v>0</v>
      </c>
    </row>
    <row r="16" spans="1:10" ht="15" x14ac:dyDescent="0.25">
      <c r="A16" s="232">
        <f t="shared" si="2"/>
        <v>72759.576141834259</v>
      </c>
      <c r="B16" s="232">
        <f t="shared" si="3"/>
        <v>90949.470177292824</v>
      </c>
      <c r="C16" s="233">
        <f>_xlfn.LOGNORM.DIST(B16,output!$H$19,output!$H$20,TRUE)</f>
        <v>0.2965333569615044</v>
      </c>
      <c r="D16" s="233">
        <f t="shared" si="4"/>
        <v>6.0478869128599677E-2</v>
      </c>
      <c r="E16" s="232">
        <f>IF(B16&lt;output!$H$23,0,AVERAGE(A16:B16))</f>
        <v>0</v>
      </c>
      <c r="F16" s="232">
        <f>MAX(B16-output!$H$23,0)</f>
        <v>0</v>
      </c>
      <c r="G16" s="234">
        <f>(output!$H$24*F16)/(AVERAGE(A16:B16))</f>
        <v>0</v>
      </c>
      <c r="H16" s="232">
        <f>D16*output!$H$21</f>
        <v>22439.958643737365</v>
      </c>
      <c r="I16" s="235">
        <f t="shared" si="0"/>
        <v>0</v>
      </c>
      <c r="J16" s="232">
        <f t="shared" si="1"/>
        <v>0</v>
      </c>
    </row>
    <row r="17" spans="1:10" ht="15" x14ac:dyDescent="0.25">
      <c r="A17" s="232">
        <f t="shared" si="2"/>
        <v>90949.470177292824</v>
      </c>
      <c r="B17" s="232">
        <f t="shared" si="3"/>
        <v>113686.83772161603</v>
      </c>
      <c r="C17" s="233">
        <f>_xlfn.LOGNORM.DIST(B17,output!$H$19,output!$H$20,TRUE)</f>
        <v>0.36326591182435919</v>
      </c>
      <c r="D17" s="233">
        <f t="shared" si="4"/>
        <v>6.6732554862854787E-2</v>
      </c>
      <c r="E17" s="232">
        <f>IF(B17&lt;output!$H$23,0,AVERAGE(A17:B17))</f>
        <v>0</v>
      </c>
      <c r="F17" s="232">
        <f>MAX(B17-output!$H$23,0)</f>
        <v>0</v>
      </c>
      <c r="G17" s="234">
        <f>(output!$H$24*F17)/(AVERAGE(A17:B17))</f>
        <v>0</v>
      </c>
      <c r="H17" s="232">
        <f>D17*output!$H$21</f>
        <v>24760.313691203915</v>
      </c>
      <c r="I17" s="235">
        <f t="shared" si="0"/>
        <v>0</v>
      </c>
      <c r="J17" s="232">
        <f t="shared" si="1"/>
        <v>0</v>
      </c>
    </row>
    <row r="18" spans="1:10" ht="15" x14ac:dyDescent="0.25">
      <c r="A18" s="232">
        <f t="shared" si="2"/>
        <v>113686.83772161603</v>
      </c>
      <c r="B18" s="232">
        <f t="shared" si="3"/>
        <v>142108.54715202004</v>
      </c>
      <c r="C18" s="233">
        <f>_xlfn.LOGNORM.DIST(B18,output!$H$19,output!$H$20,TRUE)</f>
        <v>0.43443732365796306</v>
      </c>
      <c r="D18" s="233">
        <f t="shared" si="4"/>
        <v>7.117141183360387E-2</v>
      </c>
      <c r="E18" s="232">
        <f>IF(B18&lt;output!$H$23,0,AVERAGE(A18:B18))</f>
        <v>0</v>
      </c>
      <c r="F18" s="232">
        <f>MAX(B18-output!$H$23,0)</f>
        <v>0</v>
      </c>
      <c r="G18" s="234">
        <f>(output!$H$24*F18)/(AVERAGE(A18:B18))</f>
        <v>0</v>
      </c>
      <c r="H18" s="232">
        <f>D18*output!$H$21</f>
        <v>26407.298303916712</v>
      </c>
      <c r="I18" s="235">
        <f t="shared" si="0"/>
        <v>0</v>
      </c>
      <c r="J18" s="232">
        <f t="shared" si="1"/>
        <v>0</v>
      </c>
    </row>
    <row r="19" spans="1:10" ht="15" x14ac:dyDescent="0.25">
      <c r="A19" s="232">
        <f t="shared" si="2"/>
        <v>142108.54715202004</v>
      </c>
      <c r="B19" s="232">
        <f t="shared" si="3"/>
        <v>177635.68394002505</v>
      </c>
      <c r="C19" s="233">
        <f>_xlfn.LOGNORM.DIST(B19,output!$H$19,output!$H$20,TRUE)</f>
        <v>0.50780540428625232</v>
      </c>
      <c r="D19" s="233">
        <f t="shared" si="4"/>
        <v>7.3368080628289256E-2</v>
      </c>
      <c r="E19" s="232">
        <f>IF(B19&lt;output!$H$23,0,AVERAGE(A19:B19))</f>
        <v>0</v>
      </c>
      <c r="F19" s="232">
        <f>MAX(B19-output!$H$23,0)</f>
        <v>0</v>
      </c>
      <c r="G19" s="234">
        <f>(output!$H$24*F19)/(AVERAGE(A19:B19))</f>
        <v>0</v>
      </c>
      <c r="H19" s="232">
        <f>D19*output!$H$21</f>
        <v>27222.345900159187</v>
      </c>
      <c r="I19" s="235">
        <f t="shared" si="0"/>
        <v>0</v>
      </c>
      <c r="J19" s="232">
        <f t="shared" si="1"/>
        <v>0</v>
      </c>
    </row>
    <row r="20" spans="1:10" ht="15" x14ac:dyDescent="0.25">
      <c r="A20" s="232">
        <f t="shared" si="2"/>
        <v>177635.68394002505</v>
      </c>
      <c r="B20" s="232">
        <f t="shared" si="3"/>
        <v>222044.60492503131</v>
      </c>
      <c r="C20" s="233">
        <f>_xlfn.LOGNORM.DIST(B20,output!$H$19,output!$H$20,TRUE)</f>
        <v>0.58090963082264446</v>
      </c>
      <c r="D20" s="233">
        <f t="shared" si="4"/>
        <v>7.3104226536392147E-2</v>
      </c>
      <c r="E20" s="232">
        <f>IF(B20&lt;output!$H$23,0,AVERAGE(A20:B20))</f>
        <v>0</v>
      </c>
      <c r="F20" s="232">
        <f>MAX(B20-output!$H$23,0)</f>
        <v>0</v>
      </c>
      <c r="G20" s="234">
        <f>(output!$H$24*F20)/(AVERAGE(A20:B20))</f>
        <v>0</v>
      </c>
      <c r="H20" s="232">
        <f>D20*output!$H$21</f>
        <v>27124.446005609869</v>
      </c>
      <c r="I20" s="235">
        <f t="shared" si="0"/>
        <v>0</v>
      </c>
      <c r="J20" s="232">
        <f t="shared" si="1"/>
        <v>0</v>
      </c>
    </row>
    <row r="21" spans="1:10" ht="15" x14ac:dyDescent="0.25">
      <c r="A21" s="232">
        <f t="shared" si="2"/>
        <v>222044.60492503131</v>
      </c>
      <c r="B21" s="232">
        <f t="shared" si="3"/>
        <v>277555.75615628914</v>
      </c>
      <c r="C21" s="233">
        <f>_xlfn.LOGNORM.DIST(B21,output!$H$19,output!$H$20,TRUE)</f>
        <v>0.65131593813712874</v>
      </c>
      <c r="D21" s="233">
        <f t="shared" si="4"/>
        <v>7.0406307314484273E-2</v>
      </c>
      <c r="E21" s="232">
        <f>IF(B21&lt;output!$H$23,0,AVERAGE(A21:B21))</f>
        <v>0</v>
      </c>
      <c r="F21" s="232">
        <f>MAX(B21-output!$H$23,0)</f>
        <v>0</v>
      </c>
      <c r="G21" s="234">
        <f>(output!$H$24*F21)/(AVERAGE(A21:B21))</f>
        <v>0</v>
      </c>
      <c r="H21" s="232">
        <f>D21*output!$H$21</f>
        <v>26123.415453351616</v>
      </c>
      <c r="I21" s="235">
        <f t="shared" si="0"/>
        <v>0</v>
      </c>
      <c r="J21" s="232">
        <f t="shared" si="1"/>
        <v>0</v>
      </c>
    </row>
    <row r="22" spans="1:10" ht="15" x14ac:dyDescent="0.25">
      <c r="A22" s="232">
        <f t="shared" si="2"/>
        <v>277555.75615628914</v>
      </c>
      <c r="B22" s="232">
        <f t="shared" si="3"/>
        <v>346944.69519536139</v>
      </c>
      <c r="C22" s="233">
        <f>_xlfn.LOGNORM.DIST(B22,output!$H$19,output!$H$20,TRUE)</f>
        <v>0.71685713888464331</v>
      </c>
      <c r="D22" s="233">
        <f t="shared" si="4"/>
        <v>6.5541200747514572E-2</v>
      </c>
      <c r="E22" s="232">
        <f>IF(B22&lt;output!$H$23,0,AVERAGE(A22:B22))</f>
        <v>0</v>
      </c>
      <c r="F22" s="232">
        <f>MAX(B22-output!$H$23,0)</f>
        <v>0</v>
      </c>
      <c r="G22" s="234">
        <f>(output!$H$24*F22)/(AVERAGE(A22:B22))</f>
        <v>0</v>
      </c>
      <c r="H22" s="232">
        <f>D22*output!$H$21</f>
        <v>24318.276042956313</v>
      </c>
      <c r="I22" s="235">
        <f t="shared" si="0"/>
        <v>0</v>
      </c>
      <c r="J22" s="232">
        <f t="shared" si="1"/>
        <v>0</v>
      </c>
    </row>
    <row r="23" spans="1:10" ht="15" x14ac:dyDescent="0.25">
      <c r="A23" s="232">
        <f t="shared" si="2"/>
        <v>346944.69519536139</v>
      </c>
      <c r="B23" s="232">
        <f t="shared" si="3"/>
        <v>433680.86899420177</v>
      </c>
      <c r="C23" s="233">
        <f>_xlfn.LOGNORM.DIST(B23,output!$H$19,output!$H$20,TRUE)</f>
        <v>0.77582983132454286</v>
      </c>
      <c r="D23" s="233">
        <f t="shared" si="4"/>
        <v>5.8972692439899554E-2</v>
      </c>
      <c r="E23" s="232">
        <f>IF(B23&lt;output!$H$23,0,AVERAGE(A23:B23))</f>
        <v>0</v>
      </c>
      <c r="F23" s="232">
        <f>MAX(B23-output!$H$23,0)</f>
        <v>0</v>
      </c>
      <c r="G23" s="234">
        <f>(output!$H$24*F23)/(AVERAGE(A23:B23))</f>
        <v>0</v>
      </c>
      <c r="H23" s="232">
        <f>D23*output!$H$21</f>
        <v>21881.10985751545</v>
      </c>
      <c r="I23" s="235">
        <f t="shared" si="0"/>
        <v>0</v>
      </c>
      <c r="J23" s="232">
        <f t="shared" si="1"/>
        <v>0</v>
      </c>
    </row>
    <row r="24" spans="1:10" ht="15" x14ac:dyDescent="0.25">
      <c r="A24" s="232">
        <f t="shared" si="2"/>
        <v>433680.86899420177</v>
      </c>
      <c r="B24" s="232">
        <f t="shared" si="3"/>
        <v>542101.08624275215</v>
      </c>
      <c r="C24" s="233">
        <f>_xlfn.LOGNORM.DIST(B24,output!$H$19,output!$H$20,TRUE)</f>
        <v>0.82711847800005878</v>
      </c>
      <c r="D24" s="233">
        <f t="shared" si="4"/>
        <v>5.1288646675515914E-2</v>
      </c>
      <c r="E24" s="232">
        <f>IF(B24&lt;output!$H$23,0,AVERAGE(A24:B24))</f>
        <v>0</v>
      </c>
      <c r="F24" s="232">
        <f>MAX(B24-output!$H$23,0)</f>
        <v>0</v>
      </c>
      <c r="G24" s="234">
        <f>(output!$H$24*F24)/(AVERAGE(A24:B24))</f>
        <v>0</v>
      </c>
      <c r="H24" s="232">
        <f>D24*output!$H$21</f>
        <v>19030.036885190075</v>
      </c>
      <c r="I24" s="235">
        <f t="shared" si="0"/>
        <v>0</v>
      </c>
      <c r="J24" s="232">
        <f t="shared" si="1"/>
        <v>0</v>
      </c>
    </row>
    <row r="25" spans="1:10" ht="15" x14ac:dyDescent="0.25">
      <c r="A25" s="232">
        <f t="shared" si="2"/>
        <v>542101.08624275215</v>
      </c>
      <c r="B25" s="232">
        <f t="shared" si="3"/>
        <v>677626.35780344019</v>
      </c>
      <c r="C25" s="233">
        <f>_xlfn.LOGNORM.DIST(B25,output!$H$19,output!$H$20,TRUE)</f>
        <v>0.87023316365717363</v>
      </c>
      <c r="D25" s="233">
        <f t="shared" si="4"/>
        <v>4.3114685657114848E-2</v>
      </c>
      <c r="E25" s="232">
        <f>IF(B25&lt;output!$H$23,0,AVERAGE(A25:B25))</f>
        <v>0</v>
      </c>
      <c r="F25" s="232">
        <f>MAX(B25-output!$H$23,0)</f>
        <v>0</v>
      </c>
      <c r="G25" s="234">
        <f>(output!$H$24*F25)/(AVERAGE(A25:B25))</f>
        <v>0</v>
      </c>
      <c r="H25" s="232">
        <f>D25*output!$H$21</f>
        <v>15997.186736844578</v>
      </c>
      <c r="I25" s="235">
        <f t="shared" si="0"/>
        <v>0</v>
      </c>
      <c r="J25" s="232">
        <f t="shared" si="1"/>
        <v>0</v>
      </c>
    </row>
    <row r="26" spans="1:10" ht="15" x14ac:dyDescent="0.25">
      <c r="A26" s="232">
        <f t="shared" si="2"/>
        <v>677626.35780344019</v>
      </c>
      <c r="B26" s="232">
        <f t="shared" si="3"/>
        <v>847032.94725430023</v>
      </c>
      <c r="C26" s="233">
        <f>_xlfn.LOGNORM.DIST(B26,output!$H$19,output!$H$20,TRUE)</f>
        <v>0.90526499847673503</v>
      </c>
      <c r="D26" s="233">
        <f t="shared" si="4"/>
        <v>3.5031834819561403E-2</v>
      </c>
      <c r="E26" s="232">
        <f>IF(B26&lt;output!$H$23,0,AVERAGE(A26:B26))</f>
        <v>0</v>
      </c>
      <c r="F26" s="232">
        <f>MAX(B26-output!$H$23,0)</f>
        <v>0</v>
      </c>
      <c r="G26" s="234">
        <f>(output!$H$24*F26)/(AVERAGE(A26:B26))</f>
        <v>0</v>
      </c>
      <c r="H26" s="232">
        <f>D26*output!$H$21</f>
        <v>12998.141927780423</v>
      </c>
      <c r="I26" s="235">
        <f t="shared" si="0"/>
        <v>0</v>
      </c>
      <c r="J26" s="232">
        <f t="shared" si="1"/>
        <v>0</v>
      </c>
    </row>
    <row r="27" spans="1:10" ht="15" x14ac:dyDescent="0.25">
      <c r="A27" s="232">
        <f t="shared" si="2"/>
        <v>847032.94725430023</v>
      </c>
      <c r="B27" s="232">
        <f t="shared" si="3"/>
        <v>1058791.1840678754</v>
      </c>
      <c r="C27" s="233">
        <f>_xlfn.LOGNORM.DIST(B27,output!$H$19,output!$H$20,TRUE)</f>
        <v>0.93277776046549454</v>
      </c>
      <c r="D27" s="233">
        <f t="shared" si="4"/>
        <v>2.7512761988759515E-2</v>
      </c>
      <c r="E27" s="232">
        <f>IF(B27&lt;output!$H$23,0,AVERAGE(A27:B27))</f>
        <v>0</v>
      </c>
      <c r="F27" s="232">
        <f>MAX(B27-output!$H$23,0)</f>
        <v>0</v>
      </c>
      <c r="G27" s="234">
        <f>(output!$H$24*F27)/(AVERAGE(A27:B27))</f>
        <v>0</v>
      </c>
      <c r="H27" s="232">
        <f>D27*output!$H$21</f>
        <v>10208.280182785353</v>
      </c>
      <c r="I27" s="235">
        <f t="shared" si="0"/>
        <v>0</v>
      </c>
      <c r="J27" s="232">
        <f t="shared" si="1"/>
        <v>0</v>
      </c>
    </row>
    <row r="28" spans="1:10" ht="15" x14ac:dyDescent="0.25">
      <c r="A28" s="232">
        <f t="shared" si="2"/>
        <v>1058791.1840678754</v>
      </c>
      <c r="B28" s="232">
        <f t="shared" si="3"/>
        <v>1323488.9800848442</v>
      </c>
      <c r="C28" s="233">
        <f>_xlfn.LOGNORM.DIST(B28,output!$H$19,output!$H$20,TRUE)</f>
        <v>0.95366298312531206</v>
      </c>
      <c r="D28" s="233">
        <f t="shared" si="4"/>
        <v>2.0885222659817515E-2</v>
      </c>
      <c r="E28" s="232">
        <f>IF(B28&lt;output!$H$23,0,AVERAGE(A28:B28))</f>
        <v>0</v>
      </c>
      <c r="F28" s="232">
        <f>MAX(B28-output!$H$23,0)</f>
        <v>0</v>
      </c>
      <c r="G28" s="234">
        <f>(output!$H$24*F28)/(AVERAGE(A28:B28))</f>
        <v>0</v>
      </c>
      <c r="H28" s="232">
        <f>D28*output!$H$21</f>
        <v>7749.2112452533711</v>
      </c>
      <c r="I28" s="235">
        <f t="shared" si="0"/>
        <v>0</v>
      </c>
      <c r="J28" s="232">
        <f t="shared" si="1"/>
        <v>0</v>
      </c>
    </row>
    <row r="29" spans="1:10" ht="15" x14ac:dyDescent="0.25">
      <c r="A29" s="232">
        <f t="shared" si="2"/>
        <v>1323488.9800848442</v>
      </c>
      <c r="B29" s="232">
        <f t="shared" si="3"/>
        <v>1654361.2251060551</v>
      </c>
      <c r="C29" s="233">
        <f>_xlfn.LOGNORM.DIST(B29,output!$H$19,output!$H$20,TRUE)</f>
        <v>0.96898717569412718</v>
      </c>
      <c r="D29" s="233">
        <f t="shared" si="4"/>
        <v>1.532419256881512E-2</v>
      </c>
      <c r="E29" s="232">
        <f>IF(B29&lt;output!$H$23,0,AVERAGE(A29:B29))</f>
        <v>0</v>
      </c>
      <c r="F29" s="232">
        <f>MAX(B29-output!$H$23,0)</f>
        <v>0</v>
      </c>
      <c r="G29" s="234">
        <f>(output!$H$24*F29)/(AVERAGE(A29:B29))</f>
        <v>0</v>
      </c>
      <c r="H29" s="232">
        <f>D29*output!$H$21</f>
        <v>5685.8577623480251</v>
      </c>
      <c r="I29" s="235">
        <f t="shared" si="0"/>
        <v>0</v>
      </c>
      <c r="J29" s="232">
        <f t="shared" si="1"/>
        <v>0</v>
      </c>
    </row>
    <row r="30" spans="1:10" ht="15" x14ac:dyDescent="0.25">
      <c r="A30" s="232">
        <f t="shared" si="2"/>
        <v>1654361.2251060551</v>
      </c>
      <c r="B30" s="232">
        <f t="shared" si="3"/>
        <v>2067951.5313825689</v>
      </c>
      <c r="C30" s="233">
        <f>_xlfn.LOGNORM.DIST(B30,output!$H$19,output!$H$20,TRUE)</f>
        <v>0.97985517546248724</v>
      </c>
      <c r="D30" s="233">
        <f t="shared" si="4"/>
        <v>1.0867999768360059E-2</v>
      </c>
      <c r="E30" s="232">
        <f>IF(B30&lt;output!$H$23,0,AVERAGE(A30:B30))</f>
        <v>0</v>
      </c>
      <c r="F30" s="232">
        <f>MAX(B30-output!$H$23,0)</f>
        <v>0</v>
      </c>
      <c r="G30" s="234">
        <f>(output!$H$24*F30)/(AVERAGE(A30:B30))</f>
        <v>0</v>
      </c>
      <c r="H30" s="232">
        <f>D30*output!$H$21</f>
        <v>4032.4408980527796</v>
      </c>
      <c r="I30" s="235">
        <f t="shared" si="0"/>
        <v>0</v>
      </c>
      <c r="J30" s="232">
        <f t="shared" si="1"/>
        <v>0</v>
      </c>
    </row>
    <row r="31" spans="1:10" ht="15" x14ac:dyDescent="0.25">
      <c r="A31" s="232">
        <f t="shared" si="2"/>
        <v>2067951.5313825689</v>
      </c>
      <c r="B31" s="232">
        <f t="shared" si="3"/>
        <v>2584939.4142282112</v>
      </c>
      <c r="C31" s="233">
        <f>_xlfn.LOGNORM.DIST(B31,output!$H$19,output!$H$20,TRUE)</f>
        <v>0.98730515568538368</v>
      </c>
      <c r="D31" s="233">
        <f t="shared" si="4"/>
        <v>7.4499802228964462E-3</v>
      </c>
      <c r="E31" s="232">
        <f>IF(B31&lt;output!$H$23,0,AVERAGE(A31:B31))</f>
        <v>0</v>
      </c>
      <c r="F31" s="232">
        <f>MAX(B31-output!$H$23,0)</f>
        <v>0</v>
      </c>
      <c r="G31" s="234">
        <f>(output!$H$24*F31)/(AVERAGE(A31:B31))</f>
        <v>0</v>
      </c>
      <c r="H31" s="232">
        <f>D31*output!$H$21</f>
        <v>2764.2257619430516</v>
      </c>
      <c r="I31" s="235">
        <f t="shared" si="0"/>
        <v>0</v>
      </c>
      <c r="J31" s="232">
        <f t="shared" si="1"/>
        <v>0</v>
      </c>
    </row>
    <row r="32" spans="1:10" ht="15" x14ac:dyDescent="0.25">
      <c r="A32" s="232">
        <f t="shared" si="2"/>
        <v>2584939.4142282112</v>
      </c>
      <c r="B32" s="232">
        <f t="shared" si="3"/>
        <v>3231174.2677852642</v>
      </c>
      <c r="C32" s="233">
        <f>_xlfn.LOGNORM.DIST(B32,output!$H$19,output!$H$20,TRUE)</f>
        <v>0.99224137043488547</v>
      </c>
      <c r="D32" s="233">
        <f t="shared" si="4"/>
        <v>4.9362147495017883E-3</v>
      </c>
      <c r="E32" s="232">
        <f>IF(B32&lt;output!$H$23,0,AVERAGE(A32:B32))</f>
        <v>0</v>
      </c>
      <c r="F32" s="232">
        <f>MAX(B32-output!$H$23,0)</f>
        <v>0</v>
      </c>
      <c r="G32" s="234">
        <f>(output!$H$24*F32)/(AVERAGE(A32:B32))</f>
        <v>0</v>
      </c>
      <c r="H32" s="232">
        <f>D32*output!$H$21</f>
        <v>1831.5232482256445</v>
      </c>
      <c r="I32" s="235">
        <f t="shared" si="0"/>
        <v>0</v>
      </c>
      <c r="J32" s="232">
        <f t="shared" si="1"/>
        <v>0</v>
      </c>
    </row>
    <row r="33" spans="1:10" ht="15" x14ac:dyDescent="0.25">
      <c r="A33" s="232">
        <f t="shared" si="2"/>
        <v>3231174.2677852642</v>
      </c>
      <c r="B33" s="232">
        <f t="shared" si="3"/>
        <v>4038967.8347315802</v>
      </c>
      <c r="C33" s="233">
        <f>_xlfn.LOGNORM.DIST(B33,output!$H$19,output!$H$20,TRUE)</f>
        <v>0.99540267500250312</v>
      </c>
      <c r="D33" s="233">
        <f t="shared" si="4"/>
        <v>3.161304567617651E-3</v>
      </c>
      <c r="E33" s="232">
        <f>IF(B33&lt;output!$H$23,0,AVERAGE(A33:B33))</f>
        <v>0</v>
      </c>
      <c r="F33" s="232">
        <f>MAX(B33-output!$H$23,0)</f>
        <v>0</v>
      </c>
      <c r="G33" s="234">
        <f>(output!$H$24*F33)/(AVERAGE(A33:B33))</f>
        <v>0</v>
      </c>
      <c r="H33" s="232">
        <f>D33*output!$H$21</f>
        <v>1172.964124159718</v>
      </c>
      <c r="I33" s="235">
        <f t="shared" si="0"/>
        <v>0</v>
      </c>
      <c r="J33" s="232">
        <f t="shared" si="1"/>
        <v>0</v>
      </c>
    </row>
    <row r="34" spans="1:10" ht="15" x14ac:dyDescent="0.25">
      <c r="A34" s="232">
        <f t="shared" si="2"/>
        <v>4038967.8347315802</v>
      </c>
      <c r="B34" s="232">
        <f t="shared" si="3"/>
        <v>5048709.7934144754</v>
      </c>
      <c r="C34" s="233">
        <f>_xlfn.LOGNORM.DIST(B34,output!$H$19,output!$H$20,TRUE)</f>
        <v>0.99735958989038698</v>
      </c>
      <c r="D34" s="233">
        <f t="shared" si="4"/>
        <v>1.9569148878838538E-3</v>
      </c>
      <c r="E34" s="232">
        <f>IF(B34&lt;output!$H$23,0,AVERAGE(A34:B34))</f>
        <v>4543838.814073028</v>
      </c>
      <c r="F34" s="232">
        <f>MAX(B34-output!$H$23,0)</f>
        <v>48709.793414475396</v>
      </c>
      <c r="G34" s="234">
        <f>(output!$H$24*F34)/(AVERAGE(A34:B34))</f>
        <v>5.3599825398309718E-5</v>
      </c>
      <c r="H34" s="232">
        <f>D34*output!$H$21</f>
        <v>726.0897861706494</v>
      </c>
      <c r="I34" s="232">
        <f t="shared" si="0"/>
        <v>3299234952.904182</v>
      </c>
      <c r="J34" s="232">
        <f t="shared" si="1"/>
        <v>35367683.484732948</v>
      </c>
    </row>
    <row r="35" spans="1:10" ht="15" x14ac:dyDescent="0.25">
      <c r="A35" s="232">
        <f t="shared" si="2"/>
        <v>5048709.7934144754</v>
      </c>
      <c r="B35" s="232">
        <f t="shared" si="3"/>
        <v>6310887.2417680938</v>
      </c>
      <c r="C35" s="233">
        <f>_xlfn.LOGNORM.DIST(B35,output!$H$19,output!$H$20,TRUE)</f>
        <v>0.99853046553750169</v>
      </c>
      <c r="D35" s="233">
        <f t="shared" si="4"/>
        <v>1.1708756471147108E-3</v>
      </c>
      <c r="E35" s="232">
        <f>IF(B35&lt;output!$H$23,0,AVERAGE(A35:B35))</f>
        <v>5679798.5175912846</v>
      </c>
      <c r="F35" s="232">
        <f>MAX(B35-output!$H$23,0)</f>
        <v>1310887.2417680938</v>
      </c>
      <c r="G35" s="234">
        <f>(output!$H$24*F35)/(AVERAGE(A35:B35))</f>
        <v>1.1539909714297584E-3</v>
      </c>
      <c r="H35" s="232">
        <f>D35*output!$H$21</f>
        <v>434.43935835414806</v>
      </c>
      <c r="I35" s="232">
        <f t="shared" si="0"/>
        <v>2467528023.563199</v>
      </c>
      <c r="J35" s="232">
        <f t="shared" si="1"/>
        <v>569501012.18836963</v>
      </c>
    </row>
    <row r="36" spans="1:10" ht="15" x14ac:dyDescent="0.25">
      <c r="A36" s="232">
        <f t="shared" si="2"/>
        <v>6310887.2417680938</v>
      </c>
      <c r="B36" s="232">
        <f t="shared" si="3"/>
        <v>7888609.0522101168</v>
      </c>
      <c r="C36" s="233">
        <f>_xlfn.LOGNORM.DIST(B36,output!$H$19,output!$H$20,TRUE)</f>
        <v>0.99920761225040522</v>
      </c>
      <c r="D36" s="233">
        <f t="shared" si="4"/>
        <v>6.7714671290353134E-4</v>
      </c>
      <c r="E36" s="232">
        <f>IF(B36&lt;output!$H$23,0,AVERAGE(A36:B36))</f>
        <v>7099748.1469891053</v>
      </c>
      <c r="F36" s="232">
        <f>MAX(B36-output!$H$23,0)</f>
        <v>2888609.0522101168</v>
      </c>
      <c r="G36" s="234">
        <f>(output!$H$24*F36)/(AVERAGE(A36:B36))</f>
        <v>2.0343038882549179E-3</v>
      </c>
      <c r="H36" s="232">
        <f>D36*output!$H$21</f>
        <v>251.24716206230048</v>
      </c>
      <c r="I36" s="232">
        <f t="shared" si="0"/>
        <v>1783791573.2880893</v>
      </c>
      <c r="J36" s="232">
        <f t="shared" si="1"/>
        <v>725754826.6752634</v>
      </c>
    </row>
    <row r="37" spans="1:10" ht="15" x14ac:dyDescent="0.25">
      <c r="A37" s="232">
        <f t="shared" si="2"/>
        <v>7888609.0522101168</v>
      </c>
      <c r="B37" s="232">
        <f t="shared" si="3"/>
        <v>9860761.3152626455</v>
      </c>
      <c r="C37" s="233">
        <f>_xlfn.LOGNORM.DIST(B37,output!$H$19,output!$H$20,TRUE)</f>
        <v>0.99958613140776276</v>
      </c>
      <c r="D37" s="233">
        <f t="shared" si="4"/>
        <v>3.7851915735753749E-4</v>
      </c>
      <c r="E37" s="232">
        <f>IF(B37&lt;output!$H$23,0,AVERAGE(A37:B37))</f>
        <v>8874685.1837363802</v>
      </c>
      <c r="F37" s="232">
        <f>MAX(B37-output!$H$23,0)</f>
        <v>4860761.3152626455</v>
      </c>
      <c r="G37" s="234">
        <f>(output!$H$24*F37)/(AVERAGE(A37:B37))</f>
        <v>2.7385542217150454E-3</v>
      </c>
      <c r="H37" s="232">
        <f>D37*output!$H$21</f>
        <v>140.44499110762601</v>
      </c>
      <c r="I37" s="232">
        <f t="shared" si="0"/>
        <v>1246405081.7128363</v>
      </c>
      <c r="J37" s="232">
        <f t="shared" si="1"/>
        <v>682669579.69835472</v>
      </c>
    </row>
    <row r="38" spans="1:10" ht="15" x14ac:dyDescent="0.25">
      <c r="A38" s="232">
        <f t="shared" si="2"/>
        <v>9860761.3152626455</v>
      </c>
      <c r="B38" s="232">
        <f t="shared" si="3"/>
        <v>12325951.644078307</v>
      </c>
      <c r="C38" s="233">
        <f>_xlfn.LOGNORM.DIST(B38,output!$H$19,output!$H$20,TRUE)</f>
        <v>0.99979064678242247</v>
      </c>
      <c r="D38" s="233">
        <f t="shared" si="4"/>
        <v>2.0451537465970837E-4</v>
      </c>
      <c r="E38" s="232">
        <f>IF(B38&lt;output!$H$23,0,AVERAGE(A38:B38))</f>
        <v>11093356.479670476</v>
      </c>
      <c r="F38" s="232">
        <f>MAX(B38-output!$H$23,0)</f>
        <v>7325951.6440783069</v>
      </c>
      <c r="G38" s="234">
        <f>(output!$H$24*F38)/(AVERAGE(A38:B38))</f>
        <v>3.3019544884831473E-3</v>
      </c>
      <c r="H38" s="232">
        <f>D38*output!$H$21</f>
        <v>75.882975582988877</v>
      </c>
      <c r="I38" s="232">
        <f t="shared" si="0"/>
        <v>841796898.88022614</v>
      </c>
      <c r="J38" s="232">
        <f t="shared" si="1"/>
        <v>555915009.72975135</v>
      </c>
    </row>
    <row r="39" spans="1:10" ht="15" x14ac:dyDescent="0.25">
      <c r="A39" s="232">
        <f t="shared" si="2"/>
        <v>12325951.644078307</v>
      </c>
      <c r="B39" s="232">
        <f t="shared" si="3"/>
        <v>15407439.555097884</v>
      </c>
      <c r="C39" s="233">
        <f>_xlfn.LOGNORM.DIST(B39,output!$H$19,output!$H$20,TRUE)</f>
        <v>0.99989745310972344</v>
      </c>
      <c r="D39" s="233">
        <f t="shared" si="4"/>
        <v>1.0680632730097894E-4</v>
      </c>
      <c r="E39" s="232">
        <f>IF(B39&lt;output!$H$23,0,AVERAGE(A39:B39))</f>
        <v>13866695.599588096</v>
      </c>
      <c r="F39" s="232">
        <f>MAX(B39-output!$H$23,0)</f>
        <v>10407439.555097884</v>
      </c>
      <c r="G39" s="234">
        <f>(output!$H$24*F39)/(AVERAGE(A39:B39))</f>
        <v>3.7526747018976287E-3</v>
      </c>
      <c r="H39" s="232">
        <f>D39*output!$H$21</f>
        <v>39.629206069100626</v>
      </c>
      <c r="I39" s="232">
        <f t="shared" si="0"/>
        <v>549526137.41356754</v>
      </c>
      <c r="J39" s="232">
        <f t="shared" si="1"/>
        <v>412438566.78068298</v>
      </c>
    </row>
    <row r="40" spans="1:10" thickBot="1" x14ac:dyDescent="0.35">
      <c r="G40" s="167"/>
    </row>
  </sheetData>
  <conditionalFormatting sqref="G2:G1048576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6AA9-FBF7-4BDE-8E56-15E06749E4B2}">
  <sheetPr>
    <tabColor theme="9" tint="0.79998168889431442"/>
  </sheetPr>
  <dimension ref="A1:O36"/>
  <sheetViews>
    <sheetView tabSelected="1" workbookViewId="0">
      <pane ySplit="1" topLeftCell="A2" activePane="bottomLeft" state="frozen"/>
      <selection activeCell="B21" sqref="B21"/>
      <selection pane="bottomLeft" activeCell="N12" sqref="N12:P31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0.7109375" bestFit="1" customWidth="1"/>
    <col min="4" max="4" width="12.5703125" bestFit="1" customWidth="1"/>
    <col min="5" max="5" width="12.7109375" bestFit="1" customWidth="1"/>
    <col min="6" max="6" width="9.140625" bestFit="1" customWidth="1"/>
    <col min="7" max="7" width="11.140625" bestFit="1" customWidth="1"/>
    <col min="8" max="8" width="18.5703125" bestFit="1" customWidth="1"/>
    <col min="9" max="9" width="9" bestFit="1" customWidth="1"/>
    <col min="10" max="10" width="14.28515625" style="11" bestFit="1" customWidth="1"/>
    <col min="11" max="11" width="18.140625" style="11" bestFit="1" customWidth="1"/>
    <col min="12" max="12" width="15.28515625" style="11" bestFit="1" customWidth="1"/>
    <col min="14" max="14" width="34.5703125" bestFit="1" customWidth="1"/>
    <col min="15" max="15" width="15.7109375" bestFit="1" customWidth="1"/>
  </cols>
  <sheetData>
    <row r="1" spans="1:15" ht="15.75" thickBot="1" x14ac:dyDescent="0.3">
      <c r="A1" s="22" t="s">
        <v>10</v>
      </c>
      <c r="B1" s="22" t="s">
        <v>6</v>
      </c>
      <c r="C1" s="22" t="s">
        <v>11</v>
      </c>
      <c r="D1" s="22" t="s">
        <v>21</v>
      </c>
      <c r="E1" s="22" t="s">
        <v>22</v>
      </c>
      <c r="F1" s="22" t="s">
        <v>4</v>
      </c>
      <c r="G1" s="22" t="s">
        <v>5</v>
      </c>
      <c r="H1" s="22" t="s">
        <v>12</v>
      </c>
      <c r="I1" s="22" t="s">
        <v>117</v>
      </c>
      <c r="J1" s="22" t="s">
        <v>118</v>
      </c>
      <c r="K1" s="22" t="s">
        <v>122</v>
      </c>
      <c r="L1" s="161" t="s">
        <v>119</v>
      </c>
    </row>
    <row r="2" spans="1:15" ht="15.75" thickBot="1" x14ac:dyDescent="0.3">
      <c r="A2" s="101">
        <f>IFERROR(_xlfn.LOGNORM.DIST(#REF!,output!$C$5,output!$C$6,TRUE),0)</f>
        <v>0</v>
      </c>
      <c r="B2" s="45">
        <f t="shared" ref="B2" si="0">A2</f>
        <v>0</v>
      </c>
      <c r="C2" s="46">
        <f>output!$B$11*B2</f>
        <v>0</v>
      </c>
      <c r="D2" s="46">
        <v>0</v>
      </c>
      <c r="E2" s="106">
        <f>brackets_gross!A12</f>
        <v>4000</v>
      </c>
      <c r="F2" s="133">
        <f>brackets_taxable!H11</f>
        <v>0</v>
      </c>
      <c r="G2" s="107">
        <f>brackets_taxable!I11</f>
        <v>0</v>
      </c>
      <c r="H2" s="108">
        <f t="shared" ref="H2:H6" si="1">G2*C2</f>
        <v>0</v>
      </c>
      <c r="I2" s="109"/>
      <c r="J2" s="10"/>
      <c r="K2" s="110"/>
      <c r="L2" s="10"/>
      <c r="N2" s="161" t="s">
        <v>120</v>
      </c>
      <c r="O2" s="188">
        <f>SUM(J3:J36)</f>
        <v>1441939280.673105</v>
      </c>
    </row>
    <row r="3" spans="1:15" ht="15.75" thickBot="1" x14ac:dyDescent="0.3">
      <c r="A3" s="102">
        <f>_xlfn.LOGNORM.DIST(E3,output!$C$5,output!$C$6,TRUE)</f>
        <v>5.7289291893859819E-2</v>
      </c>
      <c r="B3" s="43">
        <f t="shared" ref="B3:B4" si="2">A3-A2</f>
        <v>5.7289291893859819E-2</v>
      </c>
      <c r="C3" s="44">
        <f>output!$B$11*B3</f>
        <v>16041.00173028075</v>
      </c>
      <c r="D3" s="44">
        <f>E2</f>
        <v>4000</v>
      </c>
      <c r="E3" s="44">
        <f>brackets_gross!A13</f>
        <v>8000</v>
      </c>
      <c r="F3" s="121">
        <f>brackets_taxable!H12</f>
        <v>0</v>
      </c>
      <c r="G3" s="44">
        <f>brackets_taxable!I12</f>
        <v>0</v>
      </c>
      <c r="H3" s="143">
        <f t="shared" si="1"/>
        <v>0</v>
      </c>
      <c r="I3" s="44">
        <f>AVERAGE(brackets_taxable!G12:G13)</f>
        <v>657</v>
      </c>
      <c r="J3" s="143">
        <f>I3*C3</f>
        <v>10538938.136794453</v>
      </c>
      <c r="K3" s="143">
        <f>AVERAGE(brackets_taxable!D12:D13)</f>
        <v>657</v>
      </c>
      <c r="L3" s="144">
        <f>K3*C3</f>
        <v>10538938.136794453</v>
      </c>
      <c r="N3" s="161" t="s">
        <v>121</v>
      </c>
      <c r="O3" s="181">
        <f>SUM(L3:L36)</f>
        <v>1497514118.5811074</v>
      </c>
    </row>
    <row r="4" spans="1:15" ht="15.75" thickBot="1" x14ac:dyDescent="0.3">
      <c r="A4" s="102">
        <f>_xlfn.LOGNORM.DIST(E4,output!$C$5,output!$C$6,TRUE)</f>
        <v>0.16726039938286139</v>
      </c>
      <c r="B4" s="43">
        <f t="shared" si="2"/>
        <v>0.10997110748900157</v>
      </c>
      <c r="C4" s="44">
        <f>output!$B$11*B4</f>
        <v>30791.910096920441</v>
      </c>
      <c r="D4" s="44">
        <f t="shared" ref="D4:D27" si="3">E3</f>
        <v>8000</v>
      </c>
      <c r="E4" s="44">
        <f>brackets_gross!A14</f>
        <v>12000</v>
      </c>
      <c r="F4" s="121">
        <f>brackets_taxable!H13</f>
        <v>0</v>
      </c>
      <c r="G4" s="44">
        <f>brackets_taxable!I13</f>
        <v>0</v>
      </c>
      <c r="H4" s="143">
        <f t="shared" si="1"/>
        <v>0</v>
      </c>
      <c r="I4" s="44">
        <f>AVERAGE(brackets_taxable!G13:G14)</f>
        <v>1095</v>
      </c>
      <c r="J4" s="143">
        <f t="shared" ref="J4:J24" si="4">I4*C4</f>
        <v>33717141.556127883</v>
      </c>
      <c r="K4" s="143">
        <f>AVERAGE(brackets_taxable!D13:D14)</f>
        <v>1095</v>
      </c>
      <c r="L4" s="144">
        <f t="shared" ref="L4:L24" si="5">K4*C4</f>
        <v>33717141.556127883</v>
      </c>
      <c r="N4" s="161" t="s">
        <v>165</v>
      </c>
      <c r="O4" s="155">
        <f>SUM(H2:H36)</f>
        <v>49999232.970408581</v>
      </c>
    </row>
    <row r="5" spans="1:15" ht="15.75" thickBot="1" x14ac:dyDescent="0.3">
      <c r="A5" s="102">
        <f>_xlfn.LOGNORM.DIST(E5,output!$C$5,output!$C$6,TRUE)</f>
        <v>0.29798954533928396</v>
      </c>
      <c r="B5" s="43">
        <f>A5-A4</f>
        <v>0.13072914595642257</v>
      </c>
      <c r="C5" s="44">
        <f>output!$B$11*B5</f>
        <v>36604.160867798317</v>
      </c>
      <c r="D5" s="44">
        <f t="shared" si="3"/>
        <v>12000</v>
      </c>
      <c r="E5" s="44">
        <f>brackets_gross!A15</f>
        <v>16000</v>
      </c>
      <c r="F5" s="121">
        <f>brackets_taxable!H14</f>
        <v>0</v>
      </c>
      <c r="G5" s="44">
        <f>brackets_taxable!I14</f>
        <v>0</v>
      </c>
      <c r="H5" s="143">
        <f t="shared" si="1"/>
        <v>0</v>
      </c>
      <c r="I5" s="44">
        <f>AVERAGE(brackets_taxable!G14:G15)</f>
        <v>1533</v>
      </c>
      <c r="J5" s="143">
        <f t="shared" si="4"/>
        <v>56114178.610334821</v>
      </c>
      <c r="K5" s="143">
        <f>AVERAGE(brackets_taxable!D14:D15)</f>
        <v>1533</v>
      </c>
      <c r="L5" s="144">
        <f t="shared" si="5"/>
        <v>56114178.610334821</v>
      </c>
    </row>
    <row r="6" spans="1:15" ht="15.75" thickBot="1" x14ac:dyDescent="0.3">
      <c r="A6" s="102">
        <f>_xlfn.LOGNORM.DIST(E6,output!$C$5,output!$C$6,TRUE)</f>
        <v>0.42352223536727052</v>
      </c>
      <c r="B6" s="43">
        <f>A6-A5</f>
        <v>0.12553269002798656</v>
      </c>
      <c r="C6" s="44">
        <f>output!$B$11*B6</f>
        <v>35149.153207836236</v>
      </c>
      <c r="D6" s="44">
        <f t="shared" si="3"/>
        <v>16000</v>
      </c>
      <c r="E6" s="44">
        <f>brackets_gross!A16</f>
        <v>20000</v>
      </c>
      <c r="F6" s="121">
        <f>brackets_taxable!H15</f>
        <v>0</v>
      </c>
      <c r="G6" s="44">
        <f>brackets_taxable!I15</f>
        <v>0</v>
      </c>
      <c r="H6" s="143">
        <f t="shared" si="1"/>
        <v>0</v>
      </c>
      <c r="I6" s="44">
        <f>AVERAGE(brackets_taxable!G15:G16)</f>
        <v>1971</v>
      </c>
      <c r="J6" s="143">
        <f t="shared" si="4"/>
        <v>69278980.972645223</v>
      </c>
      <c r="K6" s="143">
        <f>AVERAGE(brackets_taxable!D15:D16)</f>
        <v>1971</v>
      </c>
      <c r="L6" s="144">
        <f t="shared" si="5"/>
        <v>69278980.972645223</v>
      </c>
      <c r="N6" s="22" t="s">
        <v>86</v>
      </c>
      <c r="O6" s="162">
        <f>hh_estimation_old!F35</f>
        <v>195975958.60889572</v>
      </c>
    </row>
    <row r="7" spans="1:15" ht="15.75" thickBot="1" x14ac:dyDescent="0.3">
      <c r="A7" s="102">
        <f>_xlfn.LOGNORM.DIST(E7,output!$C$5,output!$C$6,TRUE)</f>
        <v>0.53295653977902324</v>
      </c>
      <c r="B7" s="43">
        <f t="shared" ref="B7:B24" si="6">A7-A6</f>
        <v>0.10943430441175273</v>
      </c>
      <c r="C7" s="44">
        <f>output!$B$11*B7</f>
        <v>30641.605235290765</v>
      </c>
      <c r="D7" s="44">
        <f t="shared" si="3"/>
        <v>20000</v>
      </c>
      <c r="E7" s="44">
        <f>brackets_gross!A17</f>
        <v>24000</v>
      </c>
      <c r="F7" s="121">
        <f>brackets_taxable!H16</f>
        <v>0</v>
      </c>
      <c r="G7" s="44">
        <f>brackets_taxable!I16</f>
        <v>0</v>
      </c>
      <c r="H7" s="44">
        <f>-G7*C7</f>
        <v>0</v>
      </c>
      <c r="I7" s="44">
        <f>AVERAGE(brackets_taxable!G16:G17)</f>
        <v>2596.1999999999998</v>
      </c>
      <c r="J7" s="143">
        <f t="shared" si="4"/>
        <v>79551735.511861876</v>
      </c>
      <c r="K7" s="143">
        <f>AVERAGE(brackets_taxable!D16:D17)</f>
        <v>2409</v>
      </c>
      <c r="L7" s="144">
        <f t="shared" si="5"/>
        <v>73815627.011815459</v>
      </c>
      <c r="N7" s="22" t="s">
        <v>87</v>
      </c>
      <c r="O7" s="155">
        <f>hh_estimation_new!M35</f>
        <v>116543536.34392194</v>
      </c>
    </row>
    <row r="8" spans="1:15" ht="15.75" thickBot="1" x14ac:dyDescent="0.3">
      <c r="A8" s="102">
        <f>_xlfn.LOGNORM.DIST(E8,output!$C$5,output!$C$6,TRUE)</f>
        <v>0.62389098475352878</v>
      </c>
      <c r="B8" s="43">
        <f t="shared" si="6"/>
        <v>9.0934444974505535E-2</v>
      </c>
      <c r="C8" s="44">
        <f>output!$B$11*B8</f>
        <v>25461.64459286155</v>
      </c>
      <c r="D8" s="44">
        <f t="shared" si="3"/>
        <v>24000</v>
      </c>
      <c r="E8" s="44">
        <f>brackets_gross!A18</f>
        <v>28000</v>
      </c>
      <c r="F8" s="121">
        <f>brackets_taxable!H17</f>
        <v>1.5600000000000017E-2</v>
      </c>
      <c r="G8" s="44">
        <f>brackets_taxable!I17</f>
        <v>374.40000000000009</v>
      </c>
      <c r="H8" s="44">
        <f t="shared" ref="H8:H24" si="7">-G8*C8</f>
        <v>-9532839.7355673667</v>
      </c>
      <c r="I8" s="44">
        <f>AVERAGE(brackets_taxable!G17:G18)</f>
        <v>3577.6000000000004</v>
      </c>
      <c r="J8" s="143">
        <f t="shared" si="4"/>
        <v>91091579.695421487</v>
      </c>
      <c r="K8" s="143">
        <f>AVERAGE(brackets_taxable!D17:D18)</f>
        <v>2847</v>
      </c>
      <c r="L8" s="144">
        <f t="shared" si="5"/>
        <v>72489302.15587683</v>
      </c>
      <c r="N8" s="22" t="s">
        <v>166</v>
      </c>
      <c r="O8" s="155">
        <f>O7-O6</f>
        <v>-79432422.264973775</v>
      </c>
    </row>
    <row r="9" spans="1:15" x14ac:dyDescent="0.25">
      <c r="A9" s="102">
        <f>_xlfn.LOGNORM.DIST(E9,output!$C$5,output!$C$6,TRUE)</f>
        <v>0.69761746273079428</v>
      </c>
      <c r="B9" s="43">
        <f t="shared" si="6"/>
        <v>7.3726477977265503E-2</v>
      </c>
      <c r="C9" s="44">
        <f>output!$B$11*B9</f>
        <v>20643.413833634342</v>
      </c>
      <c r="D9" s="44">
        <f t="shared" si="3"/>
        <v>28000</v>
      </c>
      <c r="E9" s="44">
        <f>brackets_gross!A19</f>
        <v>32000</v>
      </c>
      <c r="F9" s="121">
        <f>brackets_taxable!H18</f>
        <v>3.8814285714285732E-2</v>
      </c>
      <c r="G9" s="44">
        <f>brackets_taxable!I18</f>
        <v>1086.8000000000002</v>
      </c>
      <c r="H9" s="44">
        <f t="shared" si="7"/>
        <v>-22435262.154393807</v>
      </c>
      <c r="I9" s="44">
        <f>AVERAGE(brackets_taxable!G18:G19)</f>
        <v>4740.3999999999996</v>
      </c>
      <c r="J9" s="143">
        <f t="shared" si="4"/>
        <v>97858038.936960235</v>
      </c>
      <c r="K9" s="143">
        <f>AVERAGE(brackets_taxable!D18:D19)</f>
        <v>3809.4</v>
      </c>
      <c r="L9" s="144">
        <f t="shared" si="5"/>
        <v>78639020.657846659</v>
      </c>
    </row>
    <row r="10" spans="1:15" x14ac:dyDescent="0.25">
      <c r="A10" s="102">
        <f>_xlfn.LOGNORM.DIST(E10,output!$C$5,output!$C$6,TRUE)</f>
        <v>0.75666018056121909</v>
      </c>
      <c r="B10" s="43">
        <f t="shared" si="6"/>
        <v>5.9042717830424807E-2</v>
      </c>
      <c r="C10" s="44">
        <f>output!$B$11*B10</f>
        <v>16531.960992518947</v>
      </c>
      <c r="D10" s="44">
        <f t="shared" si="3"/>
        <v>32000</v>
      </c>
      <c r="E10" s="44">
        <f>brackets_gross!A20</f>
        <v>36000</v>
      </c>
      <c r="F10" s="121">
        <f>brackets_taxable!H19</f>
        <v>2.4224999999999997E-2</v>
      </c>
      <c r="G10" s="44">
        <f>brackets_taxable!I19</f>
        <v>775.19999999999982</v>
      </c>
      <c r="H10" s="44">
        <f t="shared" si="7"/>
        <v>-12815576.161400685</v>
      </c>
      <c r="I10" s="44">
        <f>AVERAGE(brackets_taxable!G19:G20)</f>
        <v>5992.25</v>
      </c>
      <c r="J10" s="143">
        <f t="shared" si="4"/>
        <v>99063643.257421657</v>
      </c>
      <c r="K10" s="143">
        <f>AVERAGE(brackets_taxable!D19:D20)</f>
        <v>5306.1</v>
      </c>
      <c r="L10" s="144">
        <f t="shared" si="5"/>
        <v>87720238.222404793</v>
      </c>
    </row>
    <row r="11" spans="1:15" x14ac:dyDescent="0.25">
      <c r="A11" s="102">
        <f>_xlfn.LOGNORM.DIST(E11,output!$C$5,output!$C$6,TRUE)</f>
        <v>0.80368597546716247</v>
      </c>
      <c r="B11" s="43">
        <f t="shared" si="6"/>
        <v>4.7025794905943386E-2</v>
      </c>
      <c r="C11" s="44">
        <f>output!$B$11*B11</f>
        <v>13167.222573664149</v>
      </c>
      <c r="D11" s="44">
        <f t="shared" si="3"/>
        <v>36000</v>
      </c>
      <c r="E11" s="44">
        <f>brackets_gross!A21</f>
        <v>40000</v>
      </c>
      <c r="F11" s="121">
        <f>brackets_taxable!H20</f>
        <v>1.6586111111111107E-2</v>
      </c>
      <c r="G11" s="44">
        <f>brackets_taxable!I20</f>
        <v>597.10000000000036</v>
      </c>
      <c r="H11" s="44">
        <f t="shared" si="7"/>
        <v>-7862148.5987348678</v>
      </c>
      <c r="I11" s="44">
        <f>AVERAGE(brackets_taxable!G20:G21)</f>
        <v>7320.75</v>
      </c>
      <c r="J11" s="143">
        <f t="shared" si="4"/>
        <v>96393944.656151816</v>
      </c>
      <c r="K11" s="143">
        <f>AVERAGE(brackets_taxable!D20:D21)</f>
        <v>6859.2</v>
      </c>
      <c r="L11" s="144">
        <f t="shared" si="5"/>
        <v>90316613.077277124</v>
      </c>
    </row>
    <row r="12" spans="1:15" x14ac:dyDescent="0.25">
      <c r="A12" s="102">
        <f>_xlfn.LOGNORM.DIST(E12,output!$C$5,output!$C$6,TRUE)</f>
        <v>0.84108586349787673</v>
      </c>
      <c r="B12" s="43">
        <f t="shared" si="6"/>
        <v>3.7399888030714257E-2</v>
      </c>
      <c r="C12" s="44">
        <f>output!$B$11*B12</f>
        <v>10471.968648599992</v>
      </c>
      <c r="D12" s="44">
        <f t="shared" si="3"/>
        <v>40000</v>
      </c>
      <c r="E12" s="44">
        <f>brackets_gross!A22</f>
        <v>44000</v>
      </c>
      <c r="F12" s="121">
        <f>brackets_taxable!H21</f>
        <v>8.1499999999999906E-3</v>
      </c>
      <c r="G12" s="44">
        <f>brackets_taxable!I21</f>
        <v>326</v>
      </c>
      <c r="H12" s="44">
        <f t="shared" si="7"/>
        <v>-3413861.7794435974</v>
      </c>
      <c r="I12" s="44">
        <f>AVERAGE(brackets_taxable!G21:G22)</f>
        <v>8721.2999999999993</v>
      </c>
      <c r="J12" s="143">
        <f t="shared" si="4"/>
        <v>91329180.175035104</v>
      </c>
      <c r="K12" s="143">
        <f>AVERAGE(brackets_taxable!D21:D22)</f>
        <v>8679.4500000000007</v>
      </c>
      <c r="L12" s="144">
        <f t="shared" si="5"/>
        <v>90890928.28709121</v>
      </c>
    </row>
    <row r="13" spans="1:15" x14ac:dyDescent="0.25">
      <c r="A13" s="102">
        <f>_xlfn.LOGNORM.DIST(E13,output!$C$5,output!$C$6,TRUE)</f>
        <v>0.8708579151351048</v>
      </c>
      <c r="B13" s="43">
        <f t="shared" si="6"/>
        <v>2.977205163722807E-2</v>
      </c>
      <c r="C13" s="44">
        <f>output!$B$11*B13</f>
        <v>8336.1744584238604</v>
      </c>
      <c r="D13" s="44">
        <f t="shared" si="3"/>
        <v>44000</v>
      </c>
      <c r="E13" s="44">
        <f>brackets_gross!A23</f>
        <v>48000</v>
      </c>
      <c r="F13" s="121">
        <f>brackets_taxable!H22</f>
        <v>-5.5068181818181683E-3</v>
      </c>
      <c r="G13" s="44">
        <f>brackets_taxable!I22</f>
        <v>-242.29999999999927</v>
      </c>
      <c r="H13" s="44">
        <f t="shared" si="7"/>
        <v>2019855.0712760952</v>
      </c>
      <c r="I13" s="44">
        <f>AVERAGE(brackets_taxable!G22:G23)</f>
        <v>10210.900000000001</v>
      </c>
      <c r="J13" s="143">
        <f t="shared" si="4"/>
        <v>85119843.77752021</v>
      </c>
      <c r="K13" s="143">
        <f>AVERAGE(brackets_taxable!D22:D23)</f>
        <v>10720.349999999999</v>
      </c>
      <c r="L13" s="144">
        <f t="shared" si="5"/>
        <v>89366707.855364218</v>
      </c>
    </row>
    <row r="14" spans="1:15" x14ac:dyDescent="0.25">
      <c r="A14" s="102">
        <f>_xlfn.LOGNORM.DIST(E14,output!$C$5,output!$C$6,TRUE)</f>
        <v>0.89461434975318121</v>
      </c>
      <c r="B14" s="43">
        <f t="shared" si="6"/>
        <v>2.3756434618076416E-2</v>
      </c>
      <c r="C14" s="44">
        <f>output!$B$11*B14</f>
        <v>6651.8016930613967</v>
      </c>
      <c r="D14" s="44">
        <f t="shared" si="3"/>
        <v>48000</v>
      </c>
      <c r="E14" s="44">
        <f>brackets_gross!A24</f>
        <v>52000</v>
      </c>
      <c r="F14" s="121">
        <f>brackets_taxable!H23</f>
        <v>-1.6179166666666633E-2</v>
      </c>
      <c r="G14" s="44">
        <f>brackets_taxable!I23</f>
        <v>-776.59999999999854</v>
      </c>
      <c r="H14" s="44">
        <f t="shared" si="7"/>
        <v>5165789.194831471</v>
      </c>
      <c r="I14" s="44">
        <f>AVERAGE(brackets_taxable!G23:G24)</f>
        <v>11717.5</v>
      </c>
      <c r="J14" s="143">
        <f t="shared" si="4"/>
        <v>77942486.338446915</v>
      </c>
      <c r="K14" s="143">
        <f>AVERAGE(brackets_taxable!D23:D24)</f>
        <v>12761.25</v>
      </c>
      <c r="L14" s="144">
        <f t="shared" si="5"/>
        <v>84885304.355579749</v>
      </c>
    </row>
    <row r="15" spans="1:15" x14ac:dyDescent="0.25">
      <c r="A15" s="102">
        <f>_xlfn.LOGNORM.DIST(E15,output!$C$5,output!$C$6,TRUE)</f>
        <v>0.9136324669428183</v>
      </c>
      <c r="B15" s="43">
        <f t="shared" si="6"/>
        <v>1.9018117189637085E-2</v>
      </c>
      <c r="C15" s="44">
        <f>output!$B$11*B15</f>
        <v>5325.0728130983834</v>
      </c>
      <c r="D15" s="44">
        <f t="shared" si="3"/>
        <v>52000</v>
      </c>
      <c r="E15" s="44">
        <f>brackets_gross!A25</f>
        <v>56000</v>
      </c>
      <c r="F15" s="121">
        <f>brackets_taxable!H24</f>
        <v>-2.5209615384615414E-2</v>
      </c>
      <c r="G15" s="44">
        <f>brackets_taxable!I24</f>
        <v>-1310.9000000000015</v>
      </c>
      <c r="H15" s="44">
        <f t="shared" si="7"/>
        <v>6980637.9506906783</v>
      </c>
      <c r="I15" s="44">
        <f>AVERAGE(brackets_taxable!G24:G25)</f>
        <v>13177.504499999999</v>
      </c>
      <c r="J15" s="143">
        <f t="shared" si="4"/>
        <v>70171170.957431599</v>
      </c>
      <c r="K15" s="143">
        <f>AVERAGE(brackets_taxable!D24:D25)</f>
        <v>14765.53925</v>
      </c>
      <c r="L15" s="144">
        <f t="shared" si="5"/>
        <v>78627571.630912095</v>
      </c>
    </row>
    <row r="16" spans="1:15" x14ac:dyDescent="0.25">
      <c r="A16" s="102">
        <f>_xlfn.LOGNORM.DIST(E16,output!$C$5,output!$C$6,TRUE)</f>
        <v>0.92891483621211746</v>
      </c>
      <c r="B16" s="43">
        <f t="shared" si="6"/>
        <v>1.5282369269299156E-2</v>
      </c>
      <c r="C16" s="44">
        <f>output!$B$11*B16</f>
        <v>4279.0633954037639</v>
      </c>
      <c r="D16" s="44">
        <f t="shared" si="3"/>
        <v>56000</v>
      </c>
      <c r="E16" s="44">
        <f>brackets_gross!A26</f>
        <v>60000</v>
      </c>
      <c r="F16" s="121">
        <f>brackets_taxable!H25</f>
        <v>-3.3306598214285693E-2</v>
      </c>
      <c r="G16" s="44">
        <f>brackets_taxable!I25</f>
        <v>-1865.1695</v>
      </c>
      <c r="H16" s="44">
        <f t="shared" si="7"/>
        <v>7981178.5336735407</v>
      </c>
      <c r="I16" s="44">
        <f>AVERAGE(brackets_taxable!G25:G26)</f>
        <v>14521.308999999999</v>
      </c>
      <c r="J16" s="143">
        <f t="shared" si="4"/>
        <v>62137601.795247234</v>
      </c>
      <c r="K16" s="143">
        <f>AVERAGE(brackets_taxable!D25:D26)</f>
        <v>16678.5285</v>
      </c>
      <c r="L16" s="144">
        <f t="shared" si="5"/>
        <v>71368480.79354845</v>
      </c>
    </row>
    <row r="17" spans="1:12" x14ac:dyDescent="0.25">
      <c r="A17" s="102">
        <f>_xlfn.LOGNORM.DIST(E17,output!$C$5,output!$C$6,TRUE)</f>
        <v>0.94124514281637706</v>
      </c>
      <c r="B17" s="43">
        <f t="shared" si="6"/>
        <v>1.23303066042596E-2</v>
      </c>
      <c r="C17" s="44">
        <f>output!$B$11*B17</f>
        <v>3452.485849192688</v>
      </c>
      <c r="D17" s="44">
        <f t="shared" si="3"/>
        <v>60000</v>
      </c>
      <c r="E17" s="44">
        <f>brackets_gross!A27</f>
        <v>64000</v>
      </c>
      <c r="F17" s="121">
        <f>brackets_taxable!H26</f>
        <v>-4.0821158333333274E-2</v>
      </c>
      <c r="G17" s="44">
        <f>brackets_taxable!I26</f>
        <v>-2449.2694999999985</v>
      </c>
      <c r="H17" s="44">
        <f t="shared" si="7"/>
        <v>8456068.289609246</v>
      </c>
      <c r="I17" s="44">
        <f>AVERAGE(brackets_taxable!G26:G27)</f>
        <v>15795.508999999998</v>
      </c>
      <c r="J17" s="143">
        <f t="shared" si="4"/>
        <v>54533771.303295739</v>
      </c>
      <c r="K17" s="143">
        <f>AVERAGE(brackets_taxable!D26:D27)</f>
        <v>18536.828499999996</v>
      </c>
      <c r="L17" s="144">
        <f t="shared" si="5"/>
        <v>63998138.085161708</v>
      </c>
    </row>
    <row r="18" spans="1:12" x14ac:dyDescent="0.25">
      <c r="A18" s="102">
        <f>_xlfn.LOGNORM.DIST(E18,output!$C$5,output!$C$6,TRUE)</f>
        <v>0.9512353696817234</v>
      </c>
      <c r="B18" s="43">
        <f t="shared" si="6"/>
        <v>9.9902268653463411E-3</v>
      </c>
      <c r="C18" s="44">
        <f>output!$B$11*B18</f>
        <v>2797.2635222969757</v>
      </c>
      <c r="D18" s="44">
        <f t="shared" si="3"/>
        <v>64000</v>
      </c>
      <c r="E18" s="44">
        <f>brackets_gross!A28</f>
        <v>68000</v>
      </c>
      <c r="F18" s="121">
        <f>brackets_taxable!H27</f>
        <v>-4.7396398437500042E-2</v>
      </c>
      <c r="G18" s="44">
        <f>brackets_taxable!I27</f>
        <v>-3033.3695000000007</v>
      </c>
      <c r="H18" s="44">
        <f t="shared" si="7"/>
        <v>8485133.8519982174</v>
      </c>
      <c r="I18" s="44">
        <f>AVERAGE(brackets_taxable!G27:G28)</f>
        <v>17111.787249999998</v>
      </c>
      <c r="J18" s="143">
        <f t="shared" si="4"/>
        <v>47866178.275731474</v>
      </c>
      <c r="K18" s="143">
        <f>AVERAGE(brackets_taxable!D27:D28)</f>
        <v>20395.128499999999</v>
      </c>
      <c r="L18" s="144">
        <f t="shared" si="5"/>
        <v>57050548.985609435</v>
      </c>
    </row>
    <row r="19" spans="1:12" x14ac:dyDescent="0.25">
      <c r="A19" s="102">
        <f>_xlfn.LOGNORM.DIST(E19,output!$C$5,output!$C$6,TRUE)</f>
        <v>0.95936388163194397</v>
      </c>
      <c r="B19" s="43">
        <f t="shared" si="6"/>
        <v>8.1285119502205738E-3</v>
      </c>
      <c r="C19" s="44">
        <f>output!$B$11*B19</f>
        <v>2275.9833460617606</v>
      </c>
      <c r="D19" s="44">
        <f t="shared" si="3"/>
        <v>68000</v>
      </c>
      <c r="E19" s="44">
        <f>brackets_gross!A29</f>
        <v>72000</v>
      </c>
      <c r="F19" s="121">
        <f>brackets_taxable!H28</f>
        <v>-5.1960485294117675E-2</v>
      </c>
      <c r="G19" s="44">
        <f>brackets_taxable!I28</f>
        <v>-3533.3129999999983</v>
      </c>
      <c r="H19" s="44">
        <f t="shared" si="7"/>
        <v>8041761.5444235131</v>
      </c>
      <c r="I19" s="44">
        <f>AVERAGE(brackets_taxable!G28:G29)</f>
        <v>18525.415499999999</v>
      </c>
      <c r="J19" s="143">
        <f t="shared" si="4"/>
        <v>42163537.156874403</v>
      </c>
      <c r="K19" s="143">
        <f>AVERAGE(brackets_taxable!D28:D29)</f>
        <v>22253.428499999998</v>
      </c>
      <c r="L19" s="144">
        <f t="shared" si="5"/>
        <v>50648432.658776142</v>
      </c>
    </row>
    <row r="20" spans="1:12" x14ac:dyDescent="0.25">
      <c r="A20" s="102">
        <f>_xlfn.LOGNORM.DIST(E20,output!$C$5,output!$C$6,TRUE)</f>
        <v>0.96600542828303704</v>
      </c>
      <c r="B20" s="43">
        <f t="shared" si="6"/>
        <v>6.6415466510930665E-3</v>
      </c>
      <c r="C20" s="44">
        <f>output!$B$11*B20</f>
        <v>1859.6330623060587</v>
      </c>
      <c r="D20" s="44">
        <f t="shared" si="3"/>
        <v>72000</v>
      </c>
      <c r="E20" s="44">
        <f>brackets_gross!A30</f>
        <v>76000</v>
      </c>
      <c r="F20" s="121">
        <f>brackets_taxable!H29</f>
        <v>-5.4482124999999992E-2</v>
      </c>
      <c r="G20" s="44">
        <f>brackets_taxable!I29</f>
        <v>-3922.7129999999997</v>
      </c>
      <c r="H20" s="44">
        <f t="shared" si="7"/>
        <v>7294806.788737786</v>
      </c>
      <c r="I20" s="44">
        <f>AVERAGE(brackets_taxable!G29:G30)</f>
        <v>19994.315500000001</v>
      </c>
      <c r="J20" s="143">
        <f t="shared" si="4"/>
        <v>37182090.161978498</v>
      </c>
      <c r="K20" s="143">
        <f>AVERAGE(brackets_taxable!D29:D30)</f>
        <v>24111.728500000001</v>
      </c>
      <c r="L20" s="144">
        <f t="shared" si="5"/>
        <v>44838967.507947274</v>
      </c>
    </row>
    <row r="21" spans="1:12" x14ac:dyDescent="0.25">
      <c r="A21" s="102">
        <f>_xlfn.LOGNORM.DIST(E21,output!$C$5,output!$C$6,TRUE)</f>
        <v>0.97145447059655843</v>
      </c>
      <c r="B21" s="43">
        <f t="shared" si="6"/>
        <v>5.4490423135213906E-3</v>
      </c>
      <c r="C21" s="44">
        <f>output!$B$11*B21</f>
        <v>1525.7318477859894</v>
      </c>
      <c r="D21" s="44">
        <f t="shared" si="3"/>
        <v>76000</v>
      </c>
      <c r="E21" s="44">
        <f>brackets_gross!A31</f>
        <v>80000</v>
      </c>
      <c r="F21" s="121">
        <f>brackets_taxable!H30</f>
        <v>-5.6738328947368466E-2</v>
      </c>
      <c r="G21" s="44">
        <f>brackets_taxable!I30</f>
        <v>-4312.1130000000012</v>
      </c>
      <c r="H21" s="44">
        <f t="shared" si="7"/>
        <v>6579128.1353519885</v>
      </c>
      <c r="I21" s="44">
        <f>AVERAGE(brackets_taxable!G30:G31)</f>
        <v>21463.215499999998</v>
      </c>
      <c r="J21" s="143">
        <f t="shared" si="4"/>
        <v>32747111.444243886</v>
      </c>
      <c r="K21" s="143">
        <f>AVERAGE(brackets_taxable!D30:D31)</f>
        <v>25970.0285</v>
      </c>
      <c r="L21" s="144">
        <f t="shared" si="5"/>
        <v>39623299.570359811</v>
      </c>
    </row>
    <row r="22" spans="1:12" x14ac:dyDescent="0.25">
      <c r="A22" s="102">
        <f>_xlfn.LOGNORM.DIST(E22,output!$C$5,output!$C$6,TRUE)</f>
        <v>0.97594319304391586</v>
      </c>
      <c r="B22" s="43">
        <f t="shared" si="6"/>
        <v>4.4887224473574294E-3</v>
      </c>
      <c r="C22" s="44">
        <f>output!$B$11*B22</f>
        <v>1256.8422852600802</v>
      </c>
      <c r="D22" s="44">
        <f t="shared" si="3"/>
        <v>80000</v>
      </c>
      <c r="E22" s="44">
        <f>brackets_gross!A32</f>
        <v>84000</v>
      </c>
      <c r="F22" s="121">
        <f>brackets_taxable!H31</f>
        <v>-5.8768912499999992E-2</v>
      </c>
      <c r="G22" s="44">
        <f>brackets_taxable!I31</f>
        <v>-4701.5130000000026</v>
      </c>
      <c r="H22" s="44">
        <f t="shared" si="7"/>
        <v>5909060.3430999788</v>
      </c>
      <c r="I22" s="44">
        <f>AVERAGE(brackets_taxable!G31:G32)</f>
        <v>22932.1155</v>
      </c>
      <c r="J22" s="143">
        <f t="shared" si="4"/>
        <v>28822052.450868107</v>
      </c>
      <c r="K22" s="143">
        <f>AVERAGE(brackets_taxable!D31:D32)</f>
        <v>27828.328500000003</v>
      </c>
      <c r="L22" s="144">
        <f t="shared" si="5"/>
        <v>34975819.986908227</v>
      </c>
    </row>
    <row r="23" spans="1:12" x14ac:dyDescent="0.25">
      <c r="A23" s="102">
        <f>_xlfn.LOGNORM.DIST(E23,output!$C$5,output!$C$6,TRUE)</f>
        <v>0.97965537074643727</v>
      </c>
      <c r="B23" s="43">
        <f t="shared" si="6"/>
        <v>3.7121777025214131E-3</v>
      </c>
      <c r="C23" s="44">
        <f>output!$B$11*B23</f>
        <v>1039.4097567059957</v>
      </c>
      <c r="D23" s="44">
        <f t="shared" si="3"/>
        <v>84000</v>
      </c>
      <c r="E23" s="44">
        <f>brackets_gross!A33</f>
        <v>88000</v>
      </c>
      <c r="F23" s="121">
        <f>brackets_taxable!H32</f>
        <v>-6.0606107142857135E-2</v>
      </c>
      <c r="G23" s="44">
        <f>brackets_taxable!I32</f>
        <v>-5090.9130000000005</v>
      </c>
      <c r="H23" s="44">
        <f t="shared" si="7"/>
        <v>5291544.6427413914</v>
      </c>
      <c r="I23" s="44">
        <f>AVERAGE(brackets_taxable!G32:G33)</f>
        <v>24401.015500000001</v>
      </c>
      <c r="J23" s="143">
        <f t="shared" si="4"/>
        <v>25362653.584234234</v>
      </c>
      <c r="K23" s="143">
        <f>AVERAGE(brackets_taxable!D32:D33)</f>
        <v>29686.628499999999</v>
      </c>
      <c r="L23" s="144">
        <f t="shared" si="5"/>
        <v>30856571.306606278</v>
      </c>
    </row>
    <row r="24" spans="1:12" x14ac:dyDescent="0.25">
      <c r="A24" s="102">
        <f>_xlfn.LOGNORM.DIST(E24,output!$C$5,output!$C$6,TRUE)</f>
        <v>0.98273703975803417</v>
      </c>
      <c r="B24" s="43">
        <f t="shared" si="6"/>
        <v>3.0816690115968992E-3</v>
      </c>
      <c r="C24" s="44">
        <f>output!$B$11*B24</f>
        <v>862.86732324713182</v>
      </c>
      <c r="D24" s="44">
        <f t="shared" si="3"/>
        <v>88000</v>
      </c>
      <c r="E24" s="44">
        <f>brackets_gross!A34</f>
        <v>92000</v>
      </c>
      <c r="F24" s="121">
        <f>brackets_taxable!H33</f>
        <v>-6.2276284090909073E-2</v>
      </c>
      <c r="G24" s="44">
        <f>brackets_taxable!I33</f>
        <v>-5480.3129999999983</v>
      </c>
      <c r="H24" s="44">
        <f t="shared" si="7"/>
        <v>4728783.0088664573</v>
      </c>
      <c r="I24" s="44">
        <f>AVERAGE(brackets_taxable!G33:G34)</f>
        <v>25869.915500000003</v>
      </c>
      <c r="J24" s="143">
        <f t="shared" si="4"/>
        <v>22322304.740114488</v>
      </c>
      <c r="K24" s="143">
        <f>AVERAGE(brackets_taxable!D33:D34)</f>
        <v>31544.928500000002</v>
      </c>
      <c r="L24" s="144">
        <f t="shared" si="5"/>
        <v>27219088.016817164</v>
      </c>
    </row>
    <row r="25" spans="1:12" x14ac:dyDescent="0.25">
      <c r="A25" s="102">
        <f>_xlfn.LOGNORM.DIST(E25,output!$C$5,output!$C$6,TRUE)</f>
        <v>0.98530471614416393</v>
      </c>
      <c r="B25" s="43">
        <f t="shared" ref="B25:B27" si="8">A25-A24</f>
        <v>2.567676386129758E-3</v>
      </c>
      <c r="C25" s="44">
        <f>output!$B$11*B25</f>
        <v>718.94938811633222</v>
      </c>
      <c r="D25" s="44">
        <f t="shared" si="3"/>
        <v>92000</v>
      </c>
      <c r="E25" s="44">
        <f>brackets_gross!A35</f>
        <v>96000</v>
      </c>
      <c r="F25" s="121">
        <f>brackets_taxable!H34</f>
        <v>-6.3801228260869591E-2</v>
      </c>
      <c r="G25" s="44">
        <f>brackets_taxable!I34</f>
        <v>-5869.7130000000034</v>
      </c>
      <c r="H25" s="44">
        <f t="shared" ref="H25:H27" si="9">-G25*C25</f>
        <v>4220026.5697684828</v>
      </c>
      <c r="I25" s="44">
        <f>AVERAGE(brackets_taxable!G34:G35)</f>
        <v>27338.815499999997</v>
      </c>
      <c r="J25" s="143">
        <f t="shared" ref="J25:J27" si="10">I25*C25</f>
        <v>19655224.675550297</v>
      </c>
      <c r="K25" s="143">
        <f>AVERAGE(brackets_taxable!D34:D35)</f>
        <v>33403.228500000005</v>
      </c>
      <c r="L25" s="144">
        <f t="shared" ref="L25:L27" si="11">K25*C25</f>
        <v>24015230.691185035</v>
      </c>
    </row>
    <row r="26" spans="1:12" x14ac:dyDescent="0.25">
      <c r="A26" s="102">
        <f>_xlfn.LOGNORM.DIST(E26,output!$C$5,output!$C$6,TRUE)</f>
        <v>0.98745174027705029</v>
      </c>
      <c r="B26" s="43">
        <f t="shared" si="8"/>
        <v>2.147024132886366E-3</v>
      </c>
      <c r="C26" s="44">
        <f>output!$B$11*B26</f>
        <v>601.1667572081825</v>
      </c>
      <c r="D26" s="44">
        <f t="shared" si="3"/>
        <v>96000</v>
      </c>
      <c r="E26" s="44">
        <f>brackets_gross!A36</f>
        <v>100000</v>
      </c>
      <c r="F26" s="121">
        <f>brackets_taxable!H35</f>
        <v>-6.5199093750000103E-2</v>
      </c>
      <c r="G26" s="44">
        <f>brackets_taxable!I35</f>
        <v>-6259.1130000000085</v>
      </c>
      <c r="H26" s="44">
        <f t="shared" si="9"/>
        <v>3762770.6652095839</v>
      </c>
      <c r="I26" s="44">
        <f>AVERAGE(brackets_taxable!G35:G36)</f>
        <v>28807.715499999998</v>
      </c>
      <c r="J26" s="143">
        <f t="shared" si="10"/>
        <v>17318240.909710895</v>
      </c>
      <c r="K26" s="143">
        <f>AVERAGE(brackets_taxable!D35:D36)</f>
        <v>35261.5285</v>
      </c>
      <c r="L26" s="144">
        <f t="shared" si="11"/>
        <v>21198058.742548909</v>
      </c>
    </row>
    <row r="27" spans="1:12" x14ac:dyDescent="0.25">
      <c r="A27" s="102">
        <f>_xlfn.LOGNORM.DIST(E27,output!$C$5,output!$C$6,TRUE)</f>
        <v>0.98925318769312731</v>
      </c>
      <c r="B27" s="43">
        <f t="shared" si="8"/>
        <v>1.8014474160770177E-3</v>
      </c>
      <c r="C27" s="44">
        <f>output!$B$11*B27</f>
        <v>504.40527650156497</v>
      </c>
      <c r="D27" s="44">
        <f t="shared" si="3"/>
        <v>100000</v>
      </c>
      <c r="E27" s="44">
        <f>brackets_gross!A37</f>
        <v>104000</v>
      </c>
      <c r="F27" s="121">
        <f>brackets_taxable!H36</f>
        <v>-6.6485130000000003E-2</v>
      </c>
      <c r="G27" s="44">
        <f>brackets_taxable!I36</f>
        <v>-6648.5130000000026</v>
      </c>
      <c r="H27" s="44">
        <f t="shared" si="9"/>
        <v>3353545.0380892507</v>
      </c>
      <c r="I27" s="44">
        <f>AVERAGE(brackets_taxable!G36:G37)</f>
        <v>30276.6155</v>
      </c>
      <c r="J27" s="143">
        <f t="shared" si="10"/>
        <v>15271684.612809068</v>
      </c>
      <c r="K27" s="143">
        <f>AVERAGE(brackets_taxable!D36:D37)</f>
        <v>37119.828500000003</v>
      </c>
      <c r="L27" s="144">
        <f t="shared" si="11"/>
        <v>18723437.358233172</v>
      </c>
    </row>
    <row r="28" spans="1:12" x14ac:dyDescent="0.25">
      <c r="A28" s="102">
        <f>_xlfn.LOGNORM.DIST(E28,output!$C$5,output!$C$6,TRUE)</f>
        <v>0.99076968275429644</v>
      </c>
      <c r="B28" s="43">
        <f t="shared" ref="B28:B30" si="12">A28-A27</f>
        <v>1.5164950611691319E-3</v>
      </c>
      <c r="C28" s="44">
        <f>output!$B$11*B28</f>
        <v>424.61861712735691</v>
      </c>
      <c r="D28" s="44">
        <f t="shared" ref="D28:D30" si="13">E27</f>
        <v>104000</v>
      </c>
      <c r="E28" s="44">
        <f>brackets_gross!A38</f>
        <v>108000</v>
      </c>
      <c r="F28" s="121">
        <f>brackets_taxable!H37</f>
        <v>-6.7672240384615445E-2</v>
      </c>
      <c r="G28" s="44">
        <f>brackets_taxable!I37</f>
        <v>-7037.9130000000041</v>
      </c>
      <c r="H28" s="44">
        <f t="shared" ref="H28:H30" si="14">-G28*C28</f>
        <v>2988428.8855226496</v>
      </c>
      <c r="I28" s="44">
        <f>AVERAGE(brackets_taxable!G37:G38)</f>
        <v>31745.515500000001</v>
      </c>
      <c r="J28" s="143">
        <f t="shared" ref="J28:J30" si="15">I28*C28</f>
        <v>13479736.891605075</v>
      </c>
      <c r="K28" s="143">
        <f>AVERAGE(brackets_taxable!D37:D38)</f>
        <v>38978.128500000006</v>
      </c>
      <c r="L28" s="144">
        <f t="shared" ref="L28:L30" si="16">K28*C28</f>
        <v>16550839.02188242</v>
      </c>
    </row>
    <row r="29" spans="1:12" x14ac:dyDescent="0.25">
      <c r="A29" s="102">
        <f>_xlfn.LOGNORM.DIST(E29,output!$C$5,output!$C$6,TRUE)</f>
        <v>0.99205037075061542</v>
      </c>
      <c r="B29" s="43">
        <f t="shared" si="12"/>
        <v>1.2806879963189743E-3</v>
      </c>
      <c r="C29" s="44">
        <f>output!$B$11*B29</f>
        <v>358.59263896931282</v>
      </c>
      <c r="D29" s="44">
        <f t="shared" si="13"/>
        <v>108000</v>
      </c>
      <c r="E29" s="44">
        <f>brackets_gross!A39</f>
        <v>112000</v>
      </c>
      <c r="F29" s="121">
        <f>brackets_taxable!H38</f>
        <v>-6.877141666666664E-2</v>
      </c>
      <c r="G29" s="44">
        <f>brackets_taxable!I38</f>
        <v>-7427.3130000000056</v>
      </c>
      <c r="H29" s="44">
        <f t="shared" si="14"/>
        <v>2663379.7691210858</v>
      </c>
      <c r="I29" s="44">
        <f>AVERAGE(brackets_taxable!G38:G39)</f>
        <v>33214.415500000003</v>
      </c>
      <c r="J29" s="143">
        <f t="shared" si="15"/>
        <v>11910444.905968249</v>
      </c>
      <c r="K29" s="143">
        <f>AVERAGE(brackets_taxable!D38:D39)</f>
        <v>40836.428500000009</v>
      </c>
      <c r="L29" s="144">
        <f t="shared" si="16"/>
        <v>14643642.661896659</v>
      </c>
    </row>
    <row r="30" spans="1:12" x14ac:dyDescent="0.25">
      <c r="A30" s="102">
        <f>_xlfn.LOGNORM.DIST(E30,output!$C$5,output!$C$6,TRUE)</f>
        <v>0.9931352427717961</v>
      </c>
      <c r="B30" s="43">
        <f t="shared" si="12"/>
        <v>1.0848720211806828E-3</v>
      </c>
      <c r="C30" s="44">
        <f>output!$B$11*B30</f>
        <v>303.76416593059116</v>
      </c>
      <c r="D30" s="44">
        <f t="shared" si="13"/>
        <v>112000</v>
      </c>
      <c r="E30" s="44">
        <f>brackets_gross!A40</f>
        <v>116000</v>
      </c>
      <c r="F30" s="121">
        <f>brackets_taxable!H39</f>
        <v>-6.979208035714296E-2</v>
      </c>
      <c r="G30" s="44">
        <f>brackets_taxable!I39</f>
        <v>-7816.7130000000107</v>
      </c>
      <c r="H30" s="44">
        <f t="shared" si="14"/>
        <v>2374437.3047638121</v>
      </c>
      <c r="I30" s="44">
        <f>AVERAGE(brackets_taxable!G39:G40)</f>
        <v>34683.315499999997</v>
      </c>
      <c r="J30" s="143">
        <f t="shared" si="15"/>
        <v>10535548.404565044</v>
      </c>
      <c r="K30" s="143">
        <f>AVERAGE(brackets_taxable!D39:D40)</f>
        <v>42694.728500000012</v>
      </c>
      <c r="L30" s="144">
        <f t="shared" si="16"/>
        <v>12969128.592435542</v>
      </c>
    </row>
    <row r="31" spans="1:12" x14ac:dyDescent="0.25">
      <c r="A31" s="102">
        <f>_xlfn.LOGNORM.DIST(E31,output!$C$5,output!$C$6,TRUE)</f>
        <v>0.99405696123803011</v>
      </c>
      <c r="B31" s="43">
        <f t="shared" ref="B31:B32" si="17">A31-A30</f>
        <v>9.2171846623401166E-4</v>
      </c>
      <c r="C31" s="44">
        <f>output!$B$11*B31</f>
        <v>258.08117054552326</v>
      </c>
      <c r="D31" s="44">
        <f t="shared" ref="D31:D32" si="18">E30</f>
        <v>116000</v>
      </c>
      <c r="E31" s="44">
        <f>brackets_gross!A41</f>
        <v>120000</v>
      </c>
      <c r="F31" s="121">
        <f>brackets_taxable!H40</f>
        <v>-7.0742353448275896E-2</v>
      </c>
      <c r="G31" s="44">
        <f>brackets_taxable!I40</f>
        <v>-8206.1130000000048</v>
      </c>
      <c r="H31" s="44">
        <f t="shared" ref="H31:H32" si="19">-G31*C31</f>
        <v>2117843.2486688369</v>
      </c>
      <c r="I31" s="44">
        <f>AVERAGE(brackets_taxable!G40:G41)</f>
        <v>36152.215500000006</v>
      </c>
      <c r="J31" s="143">
        <f t="shared" ref="J31:J32" si="20">I31*C31</f>
        <v>9330206.0940540116</v>
      </c>
      <c r="K31" s="143">
        <f>AVERAGE(brackets_taxable!D40:D41)</f>
        <v>44553.028500000008</v>
      </c>
      <c r="L31" s="144">
        <f t="shared" ref="L31:L32" si="21">K31*C31</f>
        <v>11498297.746628061</v>
      </c>
    </row>
    <row r="32" spans="1:12" x14ac:dyDescent="0.25">
      <c r="A32" s="102">
        <f>_xlfn.LOGNORM.DIST(E32,output!$C$5,output!$C$6,TRUE)</f>
        <v>0.99484229886854658</v>
      </c>
      <c r="B32" s="43">
        <f t="shared" si="17"/>
        <v>7.8533763051646943E-4</v>
      </c>
      <c r="C32" s="44">
        <f>output!$B$11*B32</f>
        <v>219.89453654461144</v>
      </c>
      <c r="D32" s="44">
        <f t="shared" si="18"/>
        <v>120000</v>
      </c>
      <c r="E32" s="44">
        <f>brackets_gross!A42</f>
        <v>124000</v>
      </c>
      <c r="F32" s="121">
        <f>brackets_taxable!H41</f>
        <v>-7.1629275000000048E-2</v>
      </c>
      <c r="G32" s="44">
        <f>brackets_taxable!I41</f>
        <v>-8595.5130000000063</v>
      </c>
      <c r="H32" s="44">
        <f t="shared" si="19"/>
        <v>1890106.3474981841</v>
      </c>
      <c r="I32" s="44">
        <f>AVERAGE(brackets_taxable!G41:G42)</f>
        <v>37621.1155</v>
      </c>
      <c r="J32" s="143">
        <f t="shared" si="20"/>
        <v>8272677.7571637975</v>
      </c>
      <c r="K32" s="143">
        <f>AVERAGE(brackets_taxable!D41:D42)</f>
        <v>46411.328500000003</v>
      </c>
      <c r="L32" s="144">
        <f t="shared" si="21"/>
        <v>10205597.570927218</v>
      </c>
    </row>
    <row r="33" spans="1:12" x14ac:dyDescent="0.25">
      <c r="A33" s="102">
        <f>_xlfn.LOGNORM.DIST(E33,output!$C$5,output!$C$6,TRUE)</f>
        <v>0.99551327731661143</v>
      </c>
      <c r="B33" s="43">
        <f t="shared" ref="B33:B36" si="22">A33-A32</f>
        <v>6.7097844806485174E-4</v>
      </c>
      <c r="C33" s="44">
        <f>output!$B$11*B33</f>
        <v>187.87396545815849</v>
      </c>
      <c r="D33" s="44">
        <f t="shared" ref="D33:D36" si="23">E32</f>
        <v>124000</v>
      </c>
      <c r="E33" s="44">
        <f>brackets_gross!A43</f>
        <v>128000</v>
      </c>
      <c r="F33" s="121">
        <f>brackets_taxable!H42</f>
        <v>-7.2458975806451609E-2</v>
      </c>
      <c r="G33" s="44">
        <f>brackets_taxable!I42</f>
        <v>-8984.9130000000005</v>
      </c>
      <c r="H33" s="44">
        <f t="shared" ref="H33:H36" si="24">-G33*C33</f>
        <v>1688031.2346065594</v>
      </c>
      <c r="I33" s="44">
        <f>AVERAGE(brackets_taxable!G42:G43)</f>
        <v>39090.015500000001</v>
      </c>
      <c r="J33" s="143">
        <f t="shared" ref="J33:J36" si="25">I33*C33</f>
        <v>7343996.2218058808</v>
      </c>
      <c r="K33" s="143">
        <f>AVERAGE(brackets_taxable!D42:D43)</f>
        <v>48269.628500000006</v>
      </c>
      <c r="L33" s="144">
        <f t="shared" ref="L33:L36" si="26">K33*C33</f>
        <v>9068606.5174871441</v>
      </c>
    </row>
    <row r="34" spans="1:12" x14ac:dyDescent="0.25">
      <c r="A34" s="102">
        <f>_xlfn.LOGNORM.DIST(E34,output!$C$5,output!$C$6,TRUE)</f>
        <v>0.99608807160051904</v>
      </c>
      <c r="B34" s="43">
        <f t="shared" si="22"/>
        <v>5.7479428390760923E-4</v>
      </c>
      <c r="C34" s="44">
        <f>output!$B$11*B34</f>
        <v>160.9423994941306</v>
      </c>
      <c r="D34" s="44">
        <f t="shared" si="23"/>
        <v>128000</v>
      </c>
      <c r="E34" s="44">
        <f>brackets_gross!A44</f>
        <v>132000</v>
      </c>
      <c r="F34" s="121">
        <f>brackets_taxable!H43</f>
        <v>-7.3236820312500117E-2</v>
      </c>
      <c r="G34" s="44">
        <f>brackets_taxable!I43</f>
        <v>-9374.3130000000092</v>
      </c>
      <c r="H34" s="44">
        <f t="shared" si="24"/>
        <v>1508724.4278290235</v>
      </c>
      <c r="I34" s="44">
        <f>AVERAGE(brackets_taxable!G43:G44)</f>
        <v>40558.915500000003</v>
      </c>
      <c r="J34" s="143">
        <f t="shared" si="25"/>
        <v>6527649.1814496862</v>
      </c>
      <c r="K34" s="143">
        <f>AVERAGE(brackets_taxable!D43:D44)</f>
        <v>50127.928500000009</v>
      </c>
      <c r="L34" s="144">
        <f t="shared" si="26"/>
        <v>8067709.0944602164</v>
      </c>
    </row>
    <row r="35" spans="1:12" x14ac:dyDescent="0.25">
      <c r="A35" s="102">
        <f>_xlfn.LOGNORM.DIST(E35,output!$C$5,output!$C$6,TRUE)</f>
        <v>0.99658173121390736</v>
      </c>
      <c r="B35" s="43">
        <f t="shared" si="22"/>
        <v>4.9365961338831976E-4</v>
      </c>
      <c r="C35" s="44">
        <f>output!$B$11*B35</f>
        <v>138.22469174872953</v>
      </c>
      <c r="D35" s="44">
        <f t="shared" si="23"/>
        <v>132000</v>
      </c>
      <c r="E35" s="44">
        <f>brackets_gross!A45</f>
        <v>136000</v>
      </c>
      <c r="F35" s="121">
        <f>brackets_taxable!H44</f>
        <v>-7.3967522727272694E-2</v>
      </c>
      <c r="G35" s="44">
        <f>brackets_taxable!I44</f>
        <v>-9763.7129999999961</v>
      </c>
      <c r="H35" s="44">
        <f t="shared" si="24"/>
        <v>1349586.2197480628</v>
      </c>
      <c r="I35" s="44">
        <f>AVERAGE(brackets_taxable!G44:G45)</f>
        <v>42027.815500000004</v>
      </c>
      <c r="J35" s="143">
        <f t="shared" si="25"/>
        <v>5809281.8423599778</v>
      </c>
      <c r="K35" s="143">
        <f>AVERAGE(brackets_taxable!D44:D45)</f>
        <v>51986.228500000005</v>
      </c>
      <c r="L35" s="144">
        <f t="shared" si="26"/>
        <v>7185780.4095915183</v>
      </c>
    </row>
    <row r="36" spans="1:12" ht="15.75" thickBot="1" x14ac:dyDescent="0.3">
      <c r="A36" s="103">
        <f>_xlfn.LOGNORM.DIST(E36,output!$C$5,output!$C$6,TRUE)</f>
        <v>0.99700675720411458</v>
      </c>
      <c r="B36" s="50">
        <f t="shared" si="22"/>
        <v>4.2502599020721732E-4</v>
      </c>
      <c r="C36" s="58">
        <f>output!$B$11*B36</f>
        <v>119.00727725802085</v>
      </c>
      <c r="D36" s="58">
        <f t="shared" si="23"/>
        <v>136000</v>
      </c>
      <c r="E36" s="58">
        <f>brackets_gross!A46</f>
        <v>140000</v>
      </c>
      <c r="F36" s="132">
        <f>brackets_taxable!H45</f>
        <v>-7.4655242647058861E-2</v>
      </c>
      <c r="G36" s="58">
        <f>brackets_taxable!I45</f>
        <v>-10153.113000000005</v>
      </c>
      <c r="H36" s="58">
        <f t="shared" si="24"/>
        <v>1208294.3338230164</v>
      </c>
      <c r="I36" s="58">
        <f>AVERAGE(brackets_taxable!G45:G46)</f>
        <v>43496.715500000006</v>
      </c>
      <c r="J36" s="145">
        <f t="shared" si="25"/>
        <v>5176425.6813217541</v>
      </c>
      <c r="K36" s="145">
        <f>AVERAGE(brackets_taxable!D45:D46)</f>
        <v>53844.528500000008</v>
      </c>
      <c r="L36" s="146">
        <f t="shared" si="26"/>
        <v>6407890.7320269067</v>
      </c>
    </row>
  </sheetData>
  <conditionalFormatting sqref="H7:H36 F2:G36 O4 O8">
    <cfRule type="cellIs" dxfId="1" priority="11" operator="greaterThan">
      <formula>0</formula>
    </cfRule>
    <cfRule type="cellIs" dxfId="0" priority="1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674B-391B-4121-AFDE-0889413E2059}">
  <sheetPr>
    <tabColor theme="9"/>
  </sheetPr>
  <dimension ref="A1:O46"/>
  <sheetViews>
    <sheetView topLeftCell="A3" workbookViewId="0">
      <selection activeCell="C32" sqref="C32"/>
    </sheetView>
  </sheetViews>
  <sheetFormatPr defaultRowHeight="15.75" x14ac:dyDescent="0.25"/>
  <cols>
    <col min="1" max="1" width="22.42578125" style="2" bestFit="1" customWidth="1"/>
    <col min="2" max="2" width="21" style="2" bestFit="1" customWidth="1"/>
    <col min="3" max="3" width="16.85546875" style="2" bestFit="1" customWidth="1"/>
    <col min="4" max="4" width="23.42578125" style="2" bestFit="1" customWidth="1"/>
    <col min="5" max="5" width="20" style="2" bestFit="1" customWidth="1"/>
    <col min="6" max="6" width="12" style="2" bestFit="1" customWidth="1"/>
    <col min="7" max="7" width="13.42578125" bestFit="1" customWidth="1"/>
    <col min="8" max="8" width="9.85546875" bestFit="1" customWidth="1"/>
    <col min="9" max="9" width="12" bestFit="1" customWidth="1"/>
    <col min="10" max="11" width="25.85546875" bestFit="1" customWidth="1"/>
    <col min="12" max="12" width="17.5703125" bestFit="1" customWidth="1"/>
    <col min="13" max="15" width="10.42578125" bestFit="1" customWidth="1"/>
  </cols>
  <sheetData>
    <row r="1" spans="1:14" ht="16.5" thickBot="1" x14ac:dyDescent="0.3">
      <c r="A1" s="248" t="s">
        <v>2</v>
      </c>
      <c r="B1" s="249"/>
      <c r="C1" s="250"/>
      <c r="D1" s="248" t="s">
        <v>1</v>
      </c>
      <c r="E1" s="249"/>
      <c r="F1" s="249"/>
    </row>
    <row r="2" spans="1:14" ht="16.5" thickBot="1" x14ac:dyDescent="0.3">
      <c r="A2" s="111" t="s">
        <v>115</v>
      </c>
      <c r="B2" s="111" t="s">
        <v>104</v>
      </c>
      <c r="C2" s="111" t="s">
        <v>105</v>
      </c>
      <c r="D2" s="111" t="s">
        <v>114</v>
      </c>
      <c r="E2" s="111" t="s">
        <v>104</v>
      </c>
      <c r="F2" s="111" t="s">
        <v>105</v>
      </c>
    </row>
    <row r="3" spans="1:14" ht="18.75" x14ac:dyDescent="0.3">
      <c r="A3" s="168">
        <f>output!E2</f>
        <v>25000</v>
      </c>
      <c r="B3" s="150">
        <f>output!G2</f>
        <v>0</v>
      </c>
      <c r="C3" s="139">
        <f>IF($A$9&gt;A3, A3*B3, $A$9*B3)</f>
        <v>0</v>
      </c>
      <c r="D3" s="168">
        <f>output!E9</f>
        <v>19500</v>
      </c>
      <c r="E3" s="150">
        <v>0</v>
      </c>
      <c r="F3" s="48">
        <f>D3*E3</f>
        <v>0</v>
      </c>
      <c r="J3" s="1"/>
      <c r="K3" s="1"/>
      <c r="N3" s="1"/>
    </row>
    <row r="4" spans="1:14" ht="18.75" x14ac:dyDescent="0.3">
      <c r="A4" s="59">
        <f>output!E3</f>
        <v>35000</v>
      </c>
      <c r="B4" s="5">
        <f>output!G3</f>
        <v>0.3</v>
      </c>
      <c r="C4" s="142">
        <f>IF(A4&lt;A3, MAX(($A$9-A3)*B4,0), IF($A$9&gt;A4, (A4-A3)*B4, ($A$9-A3)*B4))</f>
        <v>3000</v>
      </c>
      <c r="D4" s="59">
        <f>output!E10</f>
        <v>28000</v>
      </c>
      <c r="E4" s="5">
        <v>0.2</v>
      </c>
      <c r="F4" s="104">
        <f>IF($A$9&gt;D4,(D4-D3)*E4, MAX(($A$9-D3)*E4,0) )</f>
        <v>1700</v>
      </c>
      <c r="M4" s="1"/>
      <c r="N4" s="1"/>
    </row>
    <row r="5" spans="1:14" ht="18.75" x14ac:dyDescent="0.3">
      <c r="A5" s="59">
        <f>output!E4</f>
        <v>0</v>
      </c>
      <c r="B5" s="5">
        <f>output!G4</f>
        <v>0.45</v>
      </c>
      <c r="C5" s="140">
        <f>IF(A5&lt;A4, MAX(($A$9-A4)*B5,0), IF($A$9&gt;A5, (A5-A4)*B5, ($A$9-A4)*B5))</f>
        <v>254250</v>
      </c>
      <c r="D5" s="59">
        <f>output!E11</f>
        <v>36300</v>
      </c>
      <c r="E5" s="5">
        <v>0.25</v>
      </c>
      <c r="F5" s="104">
        <f>IF($A$9&gt;D5,(D5-D4)*E5, MAX(($A$9-D4)*E5,0) )</f>
        <v>2075</v>
      </c>
      <c r="K5" s="1"/>
      <c r="L5" s="1"/>
      <c r="M5" s="1"/>
      <c r="N5" s="1"/>
    </row>
    <row r="6" spans="1:14" ht="18.75" x14ac:dyDescent="0.3">
      <c r="A6" s="59">
        <f>output!E5</f>
        <v>0</v>
      </c>
      <c r="B6" s="5">
        <f>output!G5</f>
        <v>0</v>
      </c>
      <c r="C6" s="140">
        <f>IF(A6&lt;A5, MAX(($A$9-A5)*B6,0), IF($A$9&gt;A6, (A6-A5)*B6, ($A$9-A5)*B6))</f>
        <v>0</v>
      </c>
      <c r="D6" s="59">
        <f>output!E12</f>
        <v>60000</v>
      </c>
      <c r="E6" s="5">
        <v>0.3</v>
      </c>
      <c r="F6" s="104">
        <f>IF($A$9&gt;D6,(D6-D5)*E6, MAX(($A$9-D5)*E6,0) )</f>
        <v>7110</v>
      </c>
      <c r="K6" s="1"/>
      <c r="L6" s="1"/>
      <c r="M6" s="1"/>
      <c r="N6" s="1"/>
    </row>
    <row r="7" spans="1:14" ht="19.5" thickBot="1" x14ac:dyDescent="0.35">
      <c r="A7" s="76">
        <f>output!E6</f>
        <v>0</v>
      </c>
      <c r="B7" s="7">
        <f>output!G6</f>
        <v>0</v>
      </c>
      <c r="C7" s="141">
        <f>IF(A7&lt;A6, MAX(($A$9-A6)*B7,0), IF($A$9&gt;A7, (A7-A6)*B7, ($A$9-A6)*B7))</f>
        <v>0</v>
      </c>
      <c r="D7" s="138"/>
      <c r="E7" s="7">
        <v>0.35</v>
      </c>
      <c r="F7" s="105">
        <f>IF($A$9&gt;D6,($A$9-D6)*E7,0)</f>
        <v>189000</v>
      </c>
      <c r="K7" s="1"/>
      <c r="L7" s="1"/>
      <c r="M7" s="1"/>
      <c r="N7" s="1"/>
    </row>
    <row r="8" spans="1:14" ht="19.5" thickBot="1" x14ac:dyDescent="0.35">
      <c r="A8" s="111" t="s">
        <v>0</v>
      </c>
      <c r="B8" s="111" t="s">
        <v>132</v>
      </c>
      <c r="C8" s="111" t="s">
        <v>111</v>
      </c>
      <c r="D8" s="111" t="s">
        <v>133</v>
      </c>
      <c r="E8" s="148" t="s">
        <v>108</v>
      </c>
      <c r="K8" s="1"/>
      <c r="L8" s="1"/>
      <c r="M8" s="1"/>
      <c r="N8" s="1"/>
    </row>
    <row r="9" spans="1:14" ht="19.5" thickBot="1" x14ac:dyDescent="0.35">
      <c r="A9" s="124">
        <v>600000</v>
      </c>
      <c r="B9" s="8">
        <f>C9/A9</f>
        <v>0.42875000000000002</v>
      </c>
      <c r="C9" s="4">
        <f>SUM(C3:C7)</f>
        <v>257250</v>
      </c>
      <c r="D9" s="3">
        <f>E9/A9</f>
        <v>0.33314166666666667</v>
      </c>
      <c r="E9" s="4">
        <f>SUM(F3:F7)</f>
        <v>199885</v>
      </c>
      <c r="H9" s="246" t="s">
        <v>3</v>
      </c>
      <c r="I9" s="247"/>
      <c r="K9" s="1"/>
      <c r="L9" s="1"/>
      <c r="M9" s="1"/>
      <c r="N9" s="1"/>
    </row>
    <row r="10" spans="1:14" ht="19.5" thickBot="1" x14ac:dyDescent="0.35">
      <c r="A10" s="21" t="s">
        <v>102</v>
      </c>
      <c r="B10" s="20" t="s">
        <v>101</v>
      </c>
      <c r="C10" s="20" t="s">
        <v>100</v>
      </c>
      <c r="D10" s="30" t="s">
        <v>99</v>
      </c>
      <c r="E10" s="20" t="s">
        <v>113</v>
      </c>
      <c r="F10" s="31" t="s">
        <v>112</v>
      </c>
      <c r="G10" s="30" t="s">
        <v>107</v>
      </c>
      <c r="H10" s="20" t="s">
        <v>4</v>
      </c>
      <c r="I10" s="30" t="s">
        <v>5</v>
      </c>
      <c r="K10" s="1"/>
      <c r="L10" s="1"/>
      <c r="M10" s="1"/>
      <c r="N10" s="1"/>
    </row>
    <row r="11" spans="1:14" ht="18.75" x14ac:dyDescent="0.3">
      <c r="A11" s="27">
        <f>brackets_gross!A11</f>
        <v>0</v>
      </c>
      <c r="B11" s="27">
        <f>taxable_new!D2</f>
        <v>0</v>
      </c>
      <c r="C11" s="28">
        <f>taxable_new!I2</f>
        <v>0</v>
      </c>
      <c r="D11" s="27">
        <f>taxable_new!G2</f>
        <v>0</v>
      </c>
      <c r="E11" s="27">
        <f>taxable_old!D2</f>
        <v>0</v>
      </c>
      <c r="F11" s="9">
        <f>taxable_old!I2</f>
        <v>0</v>
      </c>
      <c r="G11" s="27">
        <f>taxable_old!G2</f>
        <v>0</v>
      </c>
      <c r="H11" s="29">
        <f t="shared" ref="H11:I12" si="0">F11-C11</f>
        <v>0</v>
      </c>
      <c r="I11" s="29">
        <f t="shared" si="0"/>
        <v>0</v>
      </c>
      <c r="K11" s="1"/>
      <c r="L11" s="1"/>
      <c r="M11" s="1"/>
      <c r="N11" s="1"/>
    </row>
    <row r="12" spans="1:14" ht="18.75" x14ac:dyDescent="0.3">
      <c r="A12" s="27">
        <f>brackets_gross!A12</f>
        <v>4000</v>
      </c>
      <c r="B12" s="27">
        <f>taxable_new!D3</f>
        <v>3562</v>
      </c>
      <c r="C12" s="28">
        <f>taxable_new!I3</f>
        <v>0.1095</v>
      </c>
      <c r="D12" s="27">
        <f>taxable_new!G3</f>
        <v>438</v>
      </c>
      <c r="E12" s="27">
        <f>taxable_old!D3</f>
        <v>3562</v>
      </c>
      <c r="F12" s="9">
        <f>taxable_old!I3</f>
        <v>0.1095</v>
      </c>
      <c r="G12" s="27">
        <f>taxable_old!G3</f>
        <v>438</v>
      </c>
      <c r="H12" s="23">
        <f t="shared" si="0"/>
        <v>0</v>
      </c>
      <c r="I12" s="23">
        <f t="shared" si="0"/>
        <v>0</v>
      </c>
      <c r="K12" s="1"/>
      <c r="L12" s="1"/>
      <c r="M12" s="1"/>
      <c r="N12" s="1"/>
    </row>
    <row r="13" spans="1:14" ht="18.75" x14ac:dyDescent="0.3">
      <c r="A13" s="27">
        <f>brackets_gross!A13</f>
        <v>8000</v>
      </c>
      <c r="B13" s="27">
        <f>taxable_new!D4</f>
        <v>7124</v>
      </c>
      <c r="C13" s="28">
        <f>taxable_new!I4</f>
        <v>0.1095</v>
      </c>
      <c r="D13" s="27">
        <f>taxable_new!G4</f>
        <v>876</v>
      </c>
      <c r="E13" s="27">
        <f>taxable_old!D4</f>
        <v>7124</v>
      </c>
      <c r="F13" s="9">
        <f>taxable_old!I4</f>
        <v>0.1095</v>
      </c>
      <c r="G13" s="27">
        <f>taxable_old!G4</f>
        <v>876</v>
      </c>
      <c r="H13" s="23">
        <f>F13-C13</f>
        <v>0</v>
      </c>
      <c r="I13" s="23">
        <f>G13-D13</f>
        <v>0</v>
      </c>
      <c r="K13" s="1"/>
      <c r="L13" s="1"/>
      <c r="M13" s="1"/>
      <c r="N13" s="1"/>
    </row>
    <row r="14" spans="1:14" ht="18.75" x14ac:dyDescent="0.3">
      <c r="A14" s="27">
        <f>brackets_gross!A14</f>
        <v>12000</v>
      </c>
      <c r="B14" s="27">
        <f>taxable_new!D5</f>
        <v>10686</v>
      </c>
      <c r="C14" s="28">
        <f>taxable_new!I5</f>
        <v>0.1095</v>
      </c>
      <c r="D14" s="27">
        <f>taxable_new!G5</f>
        <v>1314</v>
      </c>
      <c r="E14" s="27">
        <f>taxable_old!D5</f>
        <v>10686</v>
      </c>
      <c r="F14" s="9">
        <f>taxable_old!I5</f>
        <v>0.1095</v>
      </c>
      <c r="G14" s="27">
        <f>taxable_old!G5</f>
        <v>1314</v>
      </c>
      <c r="H14" s="23">
        <f t="shared" ref="H14:I33" si="1">F14-C14</f>
        <v>0</v>
      </c>
      <c r="I14" s="23">
        <f t="shared" si="1"/>
        <v>0</v>
      </c>
      <c r="K14" s="1"/>
      <c r="L14" s="1"/>
      <c r="M14" s="1"/>
      <c r="N14" s="1"/>
    </row>
    <row r="15" spans="1:14" ht="18.75" x14ac:dyDescent="0.3">
      <c r="A15" s="27">
        <f>brackets_gross!A15</f>
        <v>16000</v>
      </c>
      <c r="B15" s="27">
        <f>taxable_new!D6</f>
        <v>14248</v>
      </c>
      <c r="C15" s="28">
        <f>taxable_new!I6</f>
        <v>0.1095</v>
      </c>
      <c r="D15" s="27">
        <f>taxable_new!G6</f>
        <v>1752</v>
      </c>
      <c r="E15" s="27">
        <f>taxable_old!D6</f>
        <v>14248</v>
      </c>
      <c r="F15" s="9">
        <f>taxable_old!I6</f>
        <v>0.1095</v>
      </c>
      <c r="G15" s="27">
        <f>taxable_old!G6</f>
        <v>1752</v>
      </c>
      <c r="H15" s="23">
        <f t="shared" si="1"/>
        <v>0</v>
      </c>
      <c r="I15" s="23">
        <f t="shared" si="1"/>
        <v>0</v>
      </c>
      <c r="K15" s="1"/>
      <c r="L15" s="1"/>
      <c r="M15" s="1"/>
      <c r="N15" s="1"/>
    </row>
    <row r="16" spans="1:14" ht="18.75" x14ac:dyDescent="0.3">
      <c r="A16" s="27">
        <f>brackets_gross!A16</f>
        <v>20000</v>
      </c>
      <c r="B16" s="27">
        <f>taxable_new!D7</f>
        <v>17810</v>
      </c>
      <c r="C16" s="28">
        <f>taxable_new!I7</f>
        <v>0.1095</v>
      </c>
      <c r="D16" s="27">
        <f>taxable_new!G7</f>
        <v>2190</v>
      </c>
      <c r="E16" s="27">
        <f>taxable_old!D7</f>
        <v>17810</v>
      </c>
      <c r="F16" s="9">
        <f>taxable_old!I7</f>
        <v>0.1095</v>
      </c>
      <c r="G16" s="27">
        <f>taxable_old!G7</f>
        <v>2190</v>
      </c>
      <c r="H16" s="24">
        <f t="shared" si="1"/>
        <v>0</v>
      </c>
      <c r="I16" s="23">
        <f t="shared" si="1"/>
        <v>0</v>
      </c>
      <c r="K16" s="1"/>
      <c r="L16" s="1"/>
      <c r="M16" s="1"/>
      <c r="N16" s="1"/>
    </row>
    <row r="17" spans="1:15" ht="18.75" x14ac:dyDescent="0.3">
      <c r="A17" s="27">
        <f>brackets_gross!A17</f>
        <v>24000</v>
      </c>
      <c r="B17" s="27">
        <f>taxable_new!D8</f>
        <v>21372</v>
      </c>
      <c r="C17" s="28">
        <f>taxable_new!I8</f>
        <v>0.1095</v>
      </c>
      <c r="D17" s="27">
        <f>taxable_new!G8</f>
        <v>2628</v>
      </c>
      <c r="E17" s="27">
        <f>taxable_old!D8</f>
        <v>21372</v>
      </c>
      <c r="F17" s="9">
        <f>taxable_old!I8</f>
        <v>0.12510000000000002</v>
      </c>
      <c r="G17" s="27">
        <f>taxable_old!G8</f>
        <v>3002.4</v>
      </c>
      <c r="H17" s="24">
        <f t="shared" si="1"/>
        <v>1.5600000000000017E-2</v>
      </c>
      <c r="I17" s="23">
        <f t="shared" si="1"/>
        <v>374.40000000000009</v>
      </c>
      <c r="K17" s="1"/>
      <c r="L17" s="1"/>
      <c r="M17" s="1"/>
      <c r="N17" s="1"/>
    </row>
    <row r="18" spans="1:15" ht="18.75" x14ac:dyDescent="0.3">
      <c r="A18" s="27">
        <f>brackets_gross!A18</f>
        <v>28000</v>
      </c>
      <c r="B18" s="27">
        <f>taxable_new!D9</f>
        <v>24934</v>
      </c>
      <c r="C18" s="28">
        <f>taxable_new!I9</f>
        <v>0.1095</v>
      </c>
      <c r="D18" s="27">
        <f>taxable_new!G9</f>
        <v>3066</v>
      </c>
      <c r="E18" s="27">
        <f>taxable_old!D9</f>
        <v>24934</v>
      </c>
      <c r="F18" s="9">
        <f>taxable_old!I9</f>
        <v>0.14831428571428573</v>
      </c>
      <c r="G18" s="27">
        <f>taxable_old!G9</f>
        <v>4152.8</v>
      </c>
      <c r="H18" s="24">
        <f t="shared" si="1"/>
        <v>3.8814285714285732E-2</v>
      </c>
      <c r="I18" s="23">
        <f t="shared" si="1"/>
        <v>1086.8000000000002</v>
      </c>
      <c r="K18" s="1"/>
      <c r="L18" s="1"/>
      <c r="M18" s="1"/>
      <c r="N18" s="1"/>
    </row>
    <row r="19" spans="1:15" ht="18.75" x14ac:dyDescent="0.3">
      <c r="A19" s="27">
        <f>brackets_gross!A19</f>
        <v>32000</v>
      </c>
      <c r="B19" s="27">
        <f>taxable_new!D10</f>
        <v>28496</v>
      </c>
      <c r="C19" s="28">
        <f>taxable_new!I10</f>
        <v>0.14227500000000001</v>
      </c>
      <c r="D19" s="27">
        <f>taxable_new!G10</f>
        <v>4552.8</v>
      </c>
      <c r="E19" s="27">
        <f>taxable_old!D10</f>
        <v>28496</v>
      </c>
      <c r="F19" s="9">
        <f>taxable_old!I10</f>
        <v>0.16650000000000001</v>
      </c>
      <c r="G19" s="27">
        <f>taxable_old!G10</f>
        <v>5328</v>
      </c>
      <c r="H19" s="24">
        <f t="shared" si="1"/>
        <v>2.4224999999999997E-2</v>
      </c>
      <c r="I19" s="23">
        <f t="shared" si="1"/>
        <v>775.19999999999982</v>
      </c>
      <c r="K19" s="1"/>
      <c r="L19" s="1"/>
      <c r="M19" s="1"/>
      <c r="N19" s="1"/>
    </row>
    <row r="20" spans="1:15" ht="18.75" x14ac:dyDescent="0.3">
      <c r="A20" s="27">
        <f>brackets_gross!A20</f>
        <v>36000</v>
      </c>
      <c r="B20" s="27">
        <f>taxable_new!D11</f>
        <v>32058</v>
      </c>
      <c r="C20" s="28">
        <f>taxable_new!I11</f>
        <v>0.16831666666666667</v>
      </c>
      <c r="D20" s="27">
        <f>taxable_new!G11</f>
        <v>6059.4</v>
      </c>
      <c r="E20" s="27">
        <f>taxable_old!D11</f>
        <v>32058</v>
      </c>
      <c r="F20" s="9">
        <f>taxable_old!I11</f>
        <v>0.18490277777777778</v>
      </c>
      <c r="G20" s="27">
        <f>taxable_old!G11</f>
        <v>6656.5</v>
      </c>
      <c r="H20" s="24">
        <f t="shared" si="1"/>
        <v>1.6586111111111107E-2</v>
      </c>
      <c r="I20" s="23">
        <f t="shared" si="1"/>
        <v>597.10000000000036</v>
      </c>
      <c r="K20" s="1"/>
      <c r="L20" s="1"/>
      <c r="M20" s="1"/>
      <c r="N20" s="1"/>
    </row>
    <row r="21" spans="1:15" ht="18.75" x14ac:dyDescent="0.3">
      <c r="A21" s="27">
        <f>brackets_gross!A21</f>
        <v>40000</v>
      </c>
      <c r="B21" s="27">
        <f>taxable_new!D12</f>
        <v>35620</v>
      </c>
      <c r="C21" s="28">
        <f>taxable_new!I12</f>
        <v>0.19147500000000001</v>
      </c>
      <c r="D21" s="27">
        <f>taxable_new!G12</f>
        <v>7659</v>
      </c>
      <c r="E21" s="27">
        <f>taxable_old!D12</f>
        <v>35620</v>
      </c>
      <c r="F21" s="9">
        <f>taxable_old!I12</f>
        <v>0.199625</v>
      </c>
      <c r="G21" s="27">
        <f>taxable_old!G12</f>
        <v>7985</v>
      </c>
      <c r="H21" s="24">
        <f t="shared" si="1"/>
        <v>8.1499999999999906E-3</v>
      </c>
      <c r="I21" s="23">
        <f t="shared" si="1"/>
        <v>326</v>
      </c>
      <c r="K21" s="1"/>
      <c r="L21" s="1"/>
      <c r="M21" s="1"/>
      <c r="N21" s="1"/>
    </row>
    <row r="22" spans="1:15" ht="18.75" x14ac:dyDescent="0.3">
      <c r="A22" s="27">
        <f>brackets_gross!A22</f>
        <v>44000</v>
      </c>
      <c r="B22" s="27">
        <f>taxable_new!D13</f>
        <v>39182</v>
      </c>
      <c r="C22" s="28">
        <f>taxable_new!I13</f>
        <v>0.22045227272727272</v>
      </c>
      <c r="D22" s="27">
        <f>taxable_new!G13</f>
        <v>9699.9</v>
      </c>
      <c r="E22" s="27">
        <f>taxable_old!D13</f>
        <v>39182</v>
      </c>
      <c r="F22" s="9">
        <f>taxable_old!I13</f>
        <v>0.21494545454545455</v>
      </c>
      <c r="G22" s="27">
        <f>taxable_old!G13</f>
        <v>9457.6</v>
      </c>
      <c r="H22" s="24">
        <f t="shared" si="1"/>
        <v>-5.5068181818181683E-3</v>
      </c>
      <c r="I22" s="23">
        <f t="shared" si="1"/>
        <v>-242.29999999999927</v>
      </c>
      <c r="K22" s="1"/>
      <c r="L22" s="1"/>
      <c r="M22" s="1"/>
      <c r="N22" s="1"/>
    </row>
    <row r="23" spans="1:15" ht="18.75" x14ac:dyDescent="0.3">
      <c r="A23" s="27">
        <f>brackets_gross!A23</f>
        <v>48000</v>
      </c>
      <c r="B23" s="27">
        <f>taxable_new!D14</f>
        <v>42744</v>
      </c>
      <c r="C23" s="28">
        <f>taxable_new!I14</f>
        <v>0.24459999999999998</v>
      </c>
      <c r="D23" s="27">
        <f>taxable_new!G14</f>
        <v>11740.8</v>
      </c>
      <c r="E23" s="27">
        <f>taxable_old!D14</f>
        <v>42744</v>
      </c>
      <c r="F23" s="9">
        <f>taxable_old!I14</f>
        <v>0.22842083333333335</v>
      </c>
      <c r="G23" s="27">
        <f>taxable_old!G14</f>
        <v>10964.2</v>
      </c>
      <c r="H23" s="24">
        <f t="shared" si="1"/>
        <v>-1.6179166666666633E-2</v>
      </c>
      <c r="I23" s="23">
        <f t="shared" si="1"/>
        <v>-776.59999999999854</v>
      </c>
      <c r="K23" s="1"/>
      <c r="L23" s="1"/>
      <c r="M23" s="1"/>
      <c r="N23" s="1"/>
    </row>
    <row r="24" spans="1:15" x14ac:dyDescent="0.25">
      <c r="A24" s="27">
        <f>brackets_gross!A24</f>
        <v>52000</v>
      </c>
      <c r="B24" s="27">
        <f>taxable_new!D15</f>
        <v>46306</v>
      </c>
      <c r="C24" s="28">
        <f>taxable_new!I15</f>
        <v>0.26503269230769233</v>
      </c>
      <c r="D24" s="27">
        <f>taxable_new!G15</f>
        <v>13781.7</v>
      </c>
      <c r="E24" s="27">
        <f>taxable_old!D15</f>
        <v>46306</v>
      </c>
      <c r="F24" s="9">
        <f>taxable_old!I15</f>
        <v>0.23982307692307692</v>
      </c>
      <c r="G24" s="27">
        <f>taxable_old!G15</f>
        <v>12470.8</v>
      </c>
      <c r="H24" s="24">
        <f t="shared" si="1"/>
        <v>-2.5209615384615414E-2</v>
      </c>
      <c r="I24" s="23">
        <f t="shared" si="1"/>
        <v>-1310.9000000000015</v>
      </c>
    </row>
    <row r="25" spans="1:15" ht="16.5" thickBot="1" x14ac:dyDescent="0.3">
      <c r="A25" s="27">
        <f>brackets_gross!A25</f>
        <v>56000</v>
      </c>
      <c r="B25" s="27">
        <f>taxable_new!D16</f>
        <v>50001.13</v>
      </c>
      <c r="C25" s="28">
        <f>taxable_new!I16</f>
        <v>0.28123890178571426</v>
      </c>
      <c r="D25" s="27">
        <f>taxable_new!G16</f>
        <v>15749.378499999999</v>
      </c>
      <c r="E25" s="27">
        <f>taxable_old!D16</f>
        <v>50001.13</v>
      </c>
      <c r="F25" s="9">
        <f>taxable_old!I16</f>
        <v>0.24793230357142856</v>
      </c>
      <c r="G25" s="27">
        <f>taxable_old!G16</f>
        <v>13884.208999999999</v>
      </c>
      <c r="H25" s="24">
        <f t="shared" si="1"/>
        <v>-3.3306598214285693E-2</v>
      </c>
      <c r="I25" s="23">
        <f t="shared" si="1"/>
        <v>-1865.1695</v>
      </c>
    </row>
    <row r="26" spans="1:15" ht="16.5" thickBot="1" x14ac:dyDescent="0.3">
      <c r="A26" s="27">
        <f>brackets_gross!A26</f>
        <v>60000</v>
      </c>
      <c r="B26" s="27">
        <f>taxable_new!D17</f>
        <v>53895.13</v>
      </c>
      <c r="C26" s="28">
        <f>taxable_new!I17</f>
        <v>0.29346130833333328</v>
      </c>
      <c r="D26" s="27">
        <f>taxable_new!G17</f>
        <v>17607.678499999998</v>
      </c>
      <c r="E26" s="27">
        <f>taxable_old!D17</f>
        <v>53895.13</v>
      </c>
      <c r="F26" s="9">
        <f>taxable_old!I17</f>
        <v>0.25264015000000001</v>
      </c>
      <c r="G26" s="27">
        <f>taxable_old!G17</f>
        <v>15158.409</v>
      </c>
      <c r="H26" s="24">
        <f t="shared" si="1"/>
        <v>-4.0821158333333274E-2</v>
      </c>
      <c r="I26" s="23">
        <f t="shared" si="1"/>
        <v>-2449.2694999999985</v>
      </c>
      <c r="K26" s="111" t="s">
        <v>13</v>
      </c>
      <c r="L26" s="113">
        <f>budget_income!O4</f>
        <v>49999232.970408581</v>
      </c>
    </row>
    <row r="27" spans="1:15" ht="16.5" thickBot="1" x14ac:dyDescent="0.3">
      <c r="A27" s="27">
        <f>brackets_gross!A27</f>
        <v>64000</v>
      </c>
      <c r="B27" s="27">
        <f>taxable_new!D18</f>
        <v>57789.13</v>
      </c>
      <c r="C27" s="28">
        <f>taxable_new!I18</f>
        <v>0.30415591406249998</v>
      </c>
      <c r="D27" s="27">
        <f>taxable_new!G18</f>
        <v>19465.978499999997</v>
      </c>
      <c r="E27" s="27">
        <f>taxable_old!D18</f>
        <v>57789.13</v>
      </c>
      <c r="F27" s="9">
        <f>taxable_old!I18</f>
        <v>0.25675951562499993</v>
      </c>
      <c r="G27" s="27">
        <f>taxable_old!G18</f>
        <v>16432.608999999997</v>
      </c>
      <c r="H27" s="24">
        <f t="shared" si="1"/>
        <v>-4.7396398437500042E-2</v>
      </c>
      <c r="I27" s="23">
        <f t="shared" si="1"/>
        <v>-3033.3695000000007</v>
      </c>
    </row>
    <row r="28" spans="1:15" ht="16.5" thickBot="1" x14ac:dyDescent="0.3">
      <c r="A28" s="27">
        <f>brackets_gross!A28</f>
        <v>68000</v>
      </c>
      <c r="B28" s="27">
        <f>taxable_new!D19</f>
        <v>61683.13</v>
      </c>
      <c r="C28" s="28">
        <f>taxable_new!I19</f>
        <v>0.31359233088235294</v>
      </c>
      <c r="D28" s="27">
        <f>taxable_new!G19</f>
        <v>21324.278499999997</v>
      </c>
      <c r="E28" s="27">
        <f>taxable_old!D19</f>
        <v>61683.13</v>
      </c>
      <c r="F28" s="9">
        <f>taxable_old!I19</f>
        <v>0.26163184558823527</v>
      </c>
      <c r="G28" s="27">
        <f>taxable_old!G19</f>
        <v>17790.965499999998</v>
      </c>
      <c r="H28" s="24">
        <f t="shared" si="1"/>
        <v>-5.1960485294117675E-2</v>
      </c>
      <c r="I28" s="23">
        <f t="shared" si="1"/>
        <v>-3533.3129999999983</v>
      </c>
      <c r="K28" s="111" t="s">
        <v>88</v>
      </c>
      <c r="L28" s="112">
        <v>33691.184727664535</v>
      </c>
      <c r="M28" s="114">
        <v>39303.79562268388</v>
      </c>
      <c r="N28" s="114">
        <v>32000</v>
      </c>
      <c r="O28" s="114">
        <v>30000</v>
      </c>
    </row>
    <row r="29" spans="1:15" ht="16.5" thickBot="1" x14ac:dyDescent="0.3">
      <c r="A29" s="27">
        <f>brackets_gross!A29</f>
        <v>72000</v>
      </c>
      <c r="B29" s="27">
        <f>taxable_new!D20</f>
        <v>65577.13</v>
      </c>
      <c r="C29" s="28">
        <f>taxable_new!I20</f>
        <v>0.32198025694444443</v>
      </c>
      <c r="D29" s="27">
        <f>taxable_new!G20</f>
        <v>23182.5785</v>
      </c>
      <c r="E29" s="27">
        <f>taxable_old!D20</f>
        <v>65577.13</v>
      </c>
      <c r="F29" s="9">
        <f>taxable_old!I20</f>
        <v>0.26749813194444444</v>
      </c>
      <c r="G29" s="27">
        <f>taxable_old!G20</f>
        <v>19259.8655</v>
      </c>
      <c r="H29" s="24">
        <f t="shared" si="1"/>
        <v>-5.4482124999999992E-2</v>
      </c>
      <c r="I29" s="23">
        <f t="shared" si="1"/>
        <v>-3922.7129999999997</v>
      </c>
      <c r="K29" s="111" t="s">
        <v>34</v>
      </c>
      <c r="L29" s="112">
        <v>30000</v>
      </c>
      <c r="M29" s="114">
        <v>35000.030001999992</v>
      </c>
      <c r="N29" s="114">
        <v>28496</v>
      </c>
      <c r="O29" s="114">
        <v>26715</v>
      </c>
    </row>
    <row r="30" spans="1:15" x14ac:dyDescent="0.25">
      <c r="A30" s="27">
        <f>brackets_gross!A30</f>
        <v>76000</v>
      </c>
      <c r="B30" s="27">
        <f>taxable_new!D21</f>
        <v>69471.13</v>
      </c>
      <c r="C30" s="28">
        <f>taxable_new!I21</f>
        <v>0.32948524342105268</v>
      </c>
      <c r="D30" s="27">
        <f>taxable_new!G21</f>
        <v>25040.878500000003</v>
      </c>
      <c r="E30" s="27">
        <f>taxable_old!D21</f>
        <v>69471.13</v>
      </c>
      <c r="F30" s="9">
        <f>taxable_old!I21</f>
        <v>0.27274691447368421</v>
      </c>
      <c r="G30" s="27">
        <f>taxable_old!G21</f>
        <v>20728.765500000001</v>
      </c>
      <c r="H30" s="24">
        <f t="shared" si="1"/>
        <v>-5.6738328947368466E-2</v>
      </c>
      <c r="I30" s="23">
        <f t="shared" si="1"/>
        <v>-4312.1130000000012</v>
      </c>
    </row>
    <row r="31" spans="1:15" x14ac:dyDescent="0.25">
      <c r="A31" s="27">
        <f>brackets_gross!A31</f>
        <v>80000</v>
      </c>
      <c r="B31" s="27">
        <f>taxable_new!D22</f>
        <v>73365.13</v>
      </c>
      <c r="C31" s="28">
        <f>taxable_new!I22</f>
        <v>0.33623973125000001</v>
      </c>
      <c r="D31" s="27">
        <f>taxable_new!G22</f>
        <v>26899.178500000002</v>
      </c>
      <c r="E31" s="27">
        <f>taxable_old!D22</f>
        <v>73365.13</v>
      </c>
      <c r="F31" s="9">
        <f>taxable_old!I22</f>
        <v>0.27747081875000001</v>
      </c>
      <c r="G31" s="27">
        <f>taxable_old!G22</f>
        <v>22197.665499999999</v>
      </c>
      <c r="H31" s="24">
        <f t="shared" si="1"/>
        <v>-5.8768912499999992E-2</v>
      </c>
      <c r="I31" s="23">
        <f t="shared" si="1"/>
        <v>-4701.5130000000026</v>
      </c>
    </row>
    <row r="32" spans="1:15" x14ac:dyDescent="0.25">
      <c r="A32" s="27">
        <f>brackets_gross!A32</f>
        <v>84000</v>
      </c>
      <c r="B32" s="27">
        <f>taxable_new!D23</f>
        <v>77259.13</v>
      </c>
      <c r="C32" s="28">
        <f>taxable_new!I23</f>
        <v>0.34235093452380955</v>
      </c>
      <c r="D32" s="27">
        <f>taxable_new!G23</f>
        <v>28757.478500000001</v>
      </c>
      <c r="E32" s="27">
        <f>taxable_old!D23</f>
        <v>77259.13</v>
      </c>
      <c r="F32" s="9">
        <f>taxable_old!I23</f>
        <v>0.28174482738095241</v>
      </c>
      <c r="G32" s="27">
        <f>taxable_old!G23</f>
        <v>23666.565500000001</v>
      </c>
      <c r="H32" s="24">
        <f t="shared" si="1"/>
        <v>-6.0606107142857135E-2</v>
      </c>
      <c r="I32" s="23">
        <f t="shared" si="1"/>
        <v>-5090.9130000000005</v>
      </c>
    </row>
    <row r="33" spans="1:12" x14ac:dyDescent="0.25">
      <c r="A33" s="27">
        <f>brackets_gross!A33</f>
        <v>88000</v>
      </c>
      <c r="B33" s="27">
        <f>taxable_new!D24</f>
        <v>81153.13</v>
      </c>
      <c r="C33" s="28">
        <f>taxable_new!I24</f>
        <v>0.34790657386363638</v>
      </c>
      <c r="D33" s="27">
        <f>taxable_new!G24</f>
        <v>30615.7785</v>
      </c>
      <c r="E33" s="27">
        <f>taxable_old!D24</f>
        <v>81153.13</v>
      </c>
      <c r="F33" s="9">
        <f>taxable_old!I24</f>
        <v>0.28563028977272731</v>
      </c>
      <c r="G33" s="27">
        <f>taxable_old!G24</f>
        <v>25135.465500000002</v>
      </c>
      <c r="H33" s="24">
        <f t="shared" si="1"/>
        <v>-6.2276284090909073E-2</v>
      </c>
      <c r="I33" s="23">
        <f t="shared" si="1"/>
        <v>-5480.3129999999983</v>
      </c>
    </row>
    <row r="34" spans="1:12" x14ac:dyDescent="0.25">
      <c r="A34" s="27">
        <f>brackets_gross!A34</f>
        <v>92000</v>
      </c>
      <c r="B34" s="27">
        <f>taxable_new!D25</f>
        <v>85047.13</v>
      </c>
      <c r="C34" s="28">
        <f>taxable_new!I25</f>
        <v>0.35297911413043481</v>
      </c>
      <c r="D34" s="27">
        <f>taxable_new!G25</f>
        <v>32474.078500000003</v>
      </c>
      <c r="E34" s="27">
        <f>taxable_old!D25</f>
        <v>85047.13</v>
      </c>
      <c r="F34" s="9">
        <f>taxable_old!I25</f>
        <v>0.28917788586956522</v>
      </c>
      <c r="G34" s="27">
        <f>taxable_old!G25</f>
        <v>26604.3655</v>
      </c>
      <c r="H34" s="24">
        <f t="shared" ref="H34:I46" si="2">F34-C34</f>
        <v>-6.3801228260869591E-2</v>
      </c>
      <c r="I34" s="23">
        <f t="shared" si="2"/>
        <v>-5869.7130000000034</v>
      </c>
    </row>
    <row r="35" spans="1:12" x14ac:dyDescent="0.25">
      <c r="A35" s="27">
        <f>brackets_gross!A35</f>
        <v>96000</v>
      </c>
      <c r="B35" s="27">
        <f>taxable_new!D26</f>
        <v>88941.13</v>
      </c>
      <c r="C35" s="28">
        <f>taxable_new!I26</f>
        <v>0.3576289427083334</v>
      </c>
      <c r="D35" s="27">
        <f>taxable_new!G26</f>
        <v>34332.378500000006</v>
      </c>
      <c r="E35" s="27">
        <f>taxable_old!D26</f>
        <v>88941.13</v>
      </c>
      <c r="F35" s="9">
        <f>taxable_old!I26</f>
        <v>0.29242984895833329</v>
      </c>
      <c r="G35" s="27">
        <f>taxable_old!G26</f>
        <v>28073.265499999998</v>
      </c>
      <c r="H35" s="24">
        <f t="shared" si="2"/>
        <v>-6.5199093750000103E-2</v>
      </c>
      <c r="I35" s="23">
        <f t="shared" si="2"/>
        <v>-6259.1130000000085</v>
      </c>
    </row>
    <row r="36" spans="1:12" x14ac:dyDescent="0.25">
      <c r="A36" s="27">
        <f>brackets_gross!A36</f>
        <v>100000</v>
      </c>
      <c r="B36" s="27">
        <f>taxable_new!D27</f>
        <v>92835.13</v>
      </c>
      <c r="C36" s="28">
        <f>taxable_new!I27</f>
        <v>0.36190678500000001</v>
      </c>
      <c r="D36" s="27">
        <f>taxable_new!G27</f>
        <v>36190.678500000002</v>
      </c>
      <c r="E36" s="27">
        <f>taxable_old!D27</f>
        <v>92835.13</v>
      </c>
      <c r="F36" s="9">
        <f>taxable_old!I27</f>
        <v>0.29542165500000001</v>
      </c>
      <c r="G36" s="27">
        <f>taxable_old!G27</f>
        <v>29542.165499999999</v>
      </c>
      <c r="H36" s="24">
        <f t="shared" si="2"/>
        <v>-6.6485130000000003E-2</v>
      </c>
      <c r="I36" s="23">
        <f t="shared" si="2"/>
        <v>-6648.5130000000026</v>
      </c>
    </row>
    <row r="37" spans="1:12" x14ac:dyDescent="0.25">
      <c r="A37" s="27">
        <f>brackets_gross!A37</f>
        <v>104000</v>
      </c>
      <c r="B37" s="27">
        <f>taxable_new!D28</f>
        <v>96729.13</v>
      </c>
      <c r="C37" s="28">
        <f>taxable_new!I28</f>
        <v>0.36585556250000006</v>
      </c>
      <c r="D37" s="27">
        <f>taxable_new!G28</f>
        <v>38048.978500000005</v>
      </c>
      <c r="E37" s="27">
        <f>taxable_old!D28</f>
        <v>96729.13</v>
      </c>
      <c r="F37" s="9">
        <f>taxable_old!I28</f>
        <v>0.29818332211538462</v>
      </c>
      <c r="G37" s="27">
        <f>taxable_old!G28</f>
        <v>31011.065500000001</v>
      </c>
      <c r="H37" s="24">
        <f t="shared" si="2"/>
        <v>-6.7672240384615445E-2</v>
      </c>
      <c r="I37" s="23">
        <f t="shared" si="2"/>
        <v>-7037.9130000000041</v>
      </c>
    </row>
    <row r="38" spans="1:12" x14ac:dyDescent="0.25">
      <c r="A38" s="27">
        <f>brackets_gross!A38</f>
        <v>108000</v>
      </c>
      <c r="B38" s="27">
        <f>taxable_new!D29</f>
        <v>100623.13</v>
      </c>
      <c r="C38" s="28">
        <f>taxable_new!I29</f>
        <v>0.36951183796296294</v>
      </c>
      <c r="D38" s="27">
        <f>taxable_new!G29</f>
        <v>39907.278500000008</v>
      </c>
      <c r="E38" s="27">
        <f>taxable_old!D29</f>
        <v>100623.13</v>
      </c>
      <c r="F38" s="9">
        <f>taxable_old!I29</f>
        <v>0.3007404212962963</v>
      </c>
      <c r="G38" s="27">
        <f>taxable_old!G29</f>
        <v>32479.965500000002</v>
      </c>
      <c r="H38" s="24">
        <f t="shared" si="2"/>
        <v>-6.877141666666664E-2</v>
      </c>
      <c r="I38" s="23">
        <f t="shared" si="2"/>
        <v>-7427.3130000000056</v>
      </c>
      <c r="L38" s="12"/>
    </row>
    <row r="39" spans="1:12" x14ac:dyDescent="0.25">
      <c r="A39" s="27">
        <f>brackets_gross!A39</f>
        <v>112000</v>
      </c>
      <c r="B39" s="27">
        <f>taxable_new!D30</f>
        <v>104517.13</v>
      </c>
      <c r="C39" s="28">
        <f>taxable_new!I30</f>
        <v>0.37290695089285725</v>
      </c>
      <c r="D39" s="27">
        <f>taxable_new!G30</f>
        <v>41765.578500000011</v>
      </c>
      <c r="E39" s="27">
        <f>taxable_old!D30</f>
        <v>104517.13</v>
      </c>
      <c r="F39" s="9">
        <f>taxable_old!I30</f>
        <v>0.30311487053571429</v>
      </c>
      <c r="G39" s="27">
        <f>taxable_old!G30</f>
        <v>33948.8655</v>
      </c>
      <c r="H39" s="24">
        <f t="shared" si="2"/>
        <v>-6.979208035714296E-2</v>
      </c>
      <c r="I39" s="23">
        <f t="shared" si="2"/>
        <v>-7816.7130000000107</v>
      </c>
    </row>
    <row r="40" spans="1:12" x14ac:dyDescent="0.25">
      <c r="A40" s="27">
        <f>brackets_gross!A40</f>
        <v>116000</v>
      </c>
      <c r="B40" s="27">
        <f>taxable_new!D31</f>
        <v>108411.13</v>
      </c>
      <c r="C40" s="28">
        <f>taxable_new!I31</f>
        <v>0.37606791810344831</v>
      </c>
      <c r="D40" s="27">
        <f>taxable_new!G31</f>
        <v>43623.878500000006</v>
      </c>
      <c r="E40" s="27">
        <f>taxable_old!D31</f>
        <v>108411.13</v>
      </c>
      <c r="F40" s="9">
        <f>taxable_old!I31</f>
        <v>0.30532556465517241</v>
      </c>
      <c r="G40" s="27">
        <f>taxable_old!G31</f>
        <v>35417.765500000001</v>
      </c>
      <c r="H40" s="24">
        <f t="shared" si="2"/>
        <v>-7.0742353448275896E-2</v>
      </c>
      <c r="I40" s="23">
        <f t="shared" si="2"/>
        <v>-8206.1130000000048</v>
      </c>
    </row>
    <row r="41" spans="1:12" x14ac:dyDescent="0.25">
      <c r="A41" s="27">
        <f>brackets_gross!A41</f>
        <v>120000</v>
      </c>
      <c r="B41" s="27">
        <f>taxable_new!D32</f>
        <v>112305.13</v>
      </c>
      <c r="C41" s="28">
        <f>taxable_new!I32</f>
        <v>0.37901815416666673</v>
      </c>
      <c r="D41" s="27">
        <f>taxable_new!G32</f>
        <v>45482.178500000009</v>
      </c>
      <c r="E41" s="27">
        <f>taxable_old!D32</f>
        <v>112305.13</v>
      </c>
      <c r="F41" s="9">
        <f>taxable_old!I32</f>
        <v>0.30738887916666668</v>
      </c>
      <c r="G41" s="27">
        <f>taxable_old!G32</f>
        <v>36886.665500000003</v>
      </c>
      <c r="H41" s="24">
        <f t="shared" si="2"/>
        <v>-7.1629275000000048E-2</v>
      </c>
      <c r="I41" s="23">
        <f t="shared" si="2"/>
        <v>-8595.5130000000063</v>
      </c>
    </row>
    <row r="42" spans="1:12" x14ac:dyDescent="0.25">
      <c r="A42" s="27">
        <f>brackets_gross!A42</f>
        <v>124000</v>
      </c>
      <c r="B42" s="27">
        <f>taxable_new!D33</f>
        <v>116199.13</v>
      </c>
      <c r="C42" s="28">
        <f>taxable_new!I33</f>
        <v>0.38177805241935486</v>
      </c>
      <c r="D42" s="27">
        <f>taxable_new!G33</f>
        <v>47340.478500000005</v>
      </c>
      <c r="E42" s="27">
        <f>taxable_old!D33</f>
        <v>116199.13</v>
      </c>
      <c r="F42" s="9">
        <f>taxable_old!I33</f>
        <v>0.30931907661290325</v>
      </c>
      <c r="G42" s="27">
        <f>taxable_old!G33</f>
        <v>38355.565500000004</v>
      </c>
      <c r="H42" s="24">
        <f t="shared" si="2"/>
        <v>-7.2458975806451609E-2</v>
      </c>
      <c r="I42" s="23">
        <f t="shared" si="2"/>
        <v>-8984.9130000000005</v>
      </c>
    </row>
    <row r="43" spans="1:12" x14ac:dyDescent="0.25">
      <c r="A43" s="27">
        <f>brackets_gross!A43</f>
        <v>128000</v>
      </c>
      <c r="B43" s="27">
        <f>taxable_new!D34</f>
        <v>120093.13</v>
      </c>
      <c r="C43" s="28">
        <f>taxable_new!I34</f>
        <v>0.38436545703125008</v>
      </c>
      <c r="D43" s="27">
        <f>taxable_new!G34</f>
        <v>49198.778500000008</v>
      </c>
      <c r="E43" s="27">
        <f>taxable_old!D34</f>
        <v>120093.13</v>
      </c>
      <c r="F43" s="9">
        <f>taxable_old!I34</f>
        <v>0.31112863671874996</v>
      </c>
      <c r="G43" s="27">
        <f>taxable_old!G34</f>
        <v>39824.465499999998</v>
      </c>
      <c r="H43" s="24">
        <f t="shared" si="2"/>
        <v>-7.3236820312500117E-2</v>
      </c>
      <c r="I43" s="23">
        <f t="shared" si="2"/>
        <v>-9374.3130000000092</v>
      </c>
    </row>
    <row r="44" spans="1:12" x14ac:dyDescent="0.25">
      <c r="A44" s="27">
        <f>brackets_gross!A44</f>
        <v>132000</v>
      </c>
      <c r="B44" s="27">
        <f>taxable_new!D35</f>
        <v>123987.13</v>
      </c>
      <c r="C44" s="28">
        <f>taxable_new!I35</f>
        <v>0.38679604924242428</v>
      </c>
      <c r="D44" s="27">
        <f>taxable_new!G35</f>
        <v>51057.078500000003</v>
      </c>
      <c r="E44" s="27">
        <f>taxable_old!D35</f>
        <v>123987.13</v>
      </c>
      <c r="F44" s="9">
        <f>taxable_old!I35</f>
        <v>0.31282852651515158</v>
      </c>
      <c r="G44" s="27">
        <f>taxable_old!G35</f>
        <v>41293.365500000007</v>
      </c>
      <c r="H44" s="24">
        <f t="shared" si="2"/>
        <v>-7.3967522727272694E-2</v>
      </c>
      <c r="I44" s="23">
        <f t="shared" si="2"/>
        <v>-9763.7129999999961</v>
      </c>
    </row>
    <row r="45" spans="1:12" x14ac:dyDescent="0.25">
      <c r="A45" s="27">
        <f>brackets_gross!A45</f>
        <v>136000</v>
      </c>
      <c r="B45" s="27">
        <f>taxable_new!D36</f>
        <v>127881.13</v>
      </c>
      <c r="C45" s="28">
        <f>taxable_new!I36</f>
        <v>0.38908366544117651</v>
      </c>
      <c r="D45" s="27">
        <f>taxable_new!G36</f>
        <v>52915.378500000006</v>
      </c>
      <c r="E45" s="27">
        <f>taxable_old!D36</f>
        <v>127881.13</v>
      </c>
      <c r="F45" s="9">
        <f>taxable_old!I36</f>
        <v>0.31442842279411765</v>
      </c>
      <c r="G45" s="27">
        <f>taxable_old!G36</f>
        <v>42762.265500000001</v>
      </c>
      <c r="H45" s="24">
        <f t="shared" si="2"/>
        <v>-7.4655242647058861E-2</v>
      </c>
      <c r="I45" s="23">
        <f t="shared" si="2"/>
        <v>-10153.113000000005</v>
      </c>
    </row>
    <row r="46" spans="1:12" x14ac:dyDescent="0.25">
      <c r="A46" s="27">
        <f>brackets_gross!A46</f>
        <v>140000</v>
      </c>
      <c r="B46" s="27">
        <f>taxable_new!D37</f>
        <v>131775.13</v>
      </c>
      <c r="C46" s="28">
        <f>taxable_new!I37</f>
        <v>0.39124056071428576</v>
      </c>
      <c r="D46" s="27">
        <f>taxable_new!G37</f>
        <v>54773.678500000009</v>
      </c>
      <c r="E46" s="27">
        <f>taxable_old!D37</f>
        <v>131775.13</v>
      </c>
      <c r="F46" s="9">
        <f>taxable_old!I37</f>
        <v>0.31593689642857142</v>
      </c>
      <c r="G46" s="27">
        <f>taxable_old!G37</f>
        <v>44231.165500000003</v>
      </c>
      <c r="H46" s="24">
        <f t="shared" si="2"/>
        <v>-7.5303664285714333E-2</v>
      </c>
      <c r="I46" s="23">
        <f t="shared" si="2"/>
        <v>-10542.513000000006</v>
      </c>
    </row>
  </sheetData>
  <mergeCells count="3">
    <mergeCell ref="H9:I9"/>
    <mergeCell ref="A1:C1"/>
    <mergeCell ref="D1:F1"/>
  </mergeCells>
  <conditionalFormatting sqref="H11:I46">
    <cfRule type="cellIs" dxfId="23" priority="1" operator="greaterThan">
      <formula>0</formula>
    </cfRule>
    <cfRule type="cellIs" dxfId="22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E847-487C-4E73-B3C6-EDE3722A75C6}">
  <sheetPr>
    <tabColor rgb="FF00B0F0"/>
  </sheetPr>
  <dimension ref="A1:J24"/>
  <sheetViews>
    <sheetView workbookViewId="0">
      <selection activeCell="K39" sqref="K39"/>
    </sheetView>
  </sheetViews>
  <sheetFormatPr defaultRowHeight="15" x14ac:dyDescent="0.25"/>
  <cols>
    <col min="1" max="1" width="17" bestFit="1" customWidth="1"/>
    <col min="2" max="2" width="5.7109375" bestFit="1" customWidth="1"/>
    <col min="3" max="4" width="13.7109375" bestFit="1" customWidth="1"/>
    <col min="5" max="5" width="16.28515625" bestFit="1" customWidth="1"/>
    <col min="6" max="6" width="16.140625" bestFit="1" customWidth="1"/>
    <col min="7" max="7" width="7.5703125" customWidth="1"/>
    <col min="8" max="8" width="6.5703125" customWidth="1"/>
    <col min="9" max="9" width="4.5703125" customWidth="1"/>
    <col min="10" max="10" width="12" style="11" bestFit="1" customWidth="1"/>
  </cols>
  <sheetData>
    <row r="1" spans="1:10" ht="19.5" thickBot="1" x14ac:dyDescent="0.35">
      <c r="A1" s="158" t="str">
        <f>brackets_gross!A10</f>
        <v>gross_income</v>
      </c>
      <c r="B1" s="158" t="str">
        <f>budget_income!A1</f>
        <v>CDF</v>
      </c>
      <c r="C1" s="158" t="str">
        <f>budget_income!B1</f>
        <v>Proportion</v>
      </c>
      <c r="D1" s="158" t="str">
        <f>budget_income!C1</f>
        <v>Population</v>
      </c>
      <c r="E1" s="158" t="s">
        <v>21</v>
      </c>
      <c r="F1" s="157" t="s">
        <v>22</v>
      </c>
    </row>
    <row r="2" spans="1:10" x14ac:dyDescent="0.25">
      <c r="A2" s="11">
        <f>brackets_gross!A11</f>
        <v>0</v>
      </c>
      <c r="B2" s="12">
        <f>budget_income!A2</f>
        <v>0</v>
      </c>
      <c r="C2" s="12">
        <f>budget_income!B2</f>
        <v>0</v>
      </c>
      <c r="D2" s="11">
        <f>budget_income!C2</f>
        <v>0</v>
      </c>
      <c r="G2" s="32" t="b">
        <f>IF(A2&gt;output!$B$18-1, TRUE)</f>
        <v>1</v>
      </c>
      <c r="H2" s="32">
        <f>C2</f>
        <v>0</v>
      </c>
      <c r="I2" s="12">
        <f>IF(G2=FALSE, 0,H2)</f>
        <v>0</v>
      </c>
      <c r="J2" s="11">
        <f t="shared" ref="J2:J24" si="0">IF(G2=FALSE,D2,0)</f>
        <v>0</v>
      </c>
    </row>
    <row r="3" spans="1:10" x14ac:dyDescent="0.25">
      <c r="A3" s="11">
        <f>brackets_gross!A12</f>
        <v>4000</v>
      </c>
      <c r="B3" s="12">
        <f>budget_income!A3</f>
        <v>5.7289291893859819E-2</v>
      </c>
      <c r="C3" s="12">
        <f>budget_income!B3</f>
        <v>5.7289291893859819E-2</v>
      </c>
      <c r="D3" s="11">
        <f>budget_income!C3</f>
        <v>16041.00173028075</v>
      </c>
      <c r="E3" s="11">
        <f>budget_income!D3</f>
        <v>4000</v>
      </c>
      <c r="F3" s="11">
        <f>budget_income!E3</f>
        <v>8000</v>
      </c>
      <c r="G3" s="32" t="b">
        <f>IF(A3&gt;output!$B$18-1, TRUE)</f>
        <v>1</v>
      </c>
      <c r="H3" s="33">
        <f t="shared" ref="H3:H24" si="1">IF(G2=FALSE, C3+C2,C3)</f>
        <v>5.7289291893859819E-2</v>
      </c>
      <c r="I3" s="12">
        <f t="shared" ref="I3:I24" si="2">IF(G3=FALSE, 0,H3)</f>
        <v>5.7289291893859819E-2</v>
      </c>
      <c r="J3" s="11">
        <f t="shared" si="0"/>
        <v>0</v>
      </c>
    </row>
    <row r="4" spans="1:10" x14ac:dyDescent="0.25">
      <c r="A4" s="11">
        <f>brackets_gross!A13</f>
        <v>8000</v>
      </c>
      <c r="B4" s="12">
        <f>budget_income!A4</f>
        <v>0.16726039938286139</v>
      </c>
      <c r="C4" s="12">
        <f>budget_income!B4</f>
        <v>0.10997110748900157</v>
      </c>
      <c r="D4" s="11">
        <f>budget_income!C4</f>
        <v>30791.910096920441</v>
      </c>
      <c r="E4" s="11">
        <f>budget_income!D4</f>
        <v>8000</v>
      </c>
      <c r="F4" s="11">
        <f>budget_income!E4</f>
        <v>12000</v>
      </c>
      <c r="G4" s="32" t="b">
        <f>IF(A4&gt;output!$B$18-1, TRUE)</f>
        <v>1</v>
      </c>
      <c r="H4" s="33">
        <f t="shared" si="1"/>
        <v>0.10997110748900157</v>
      </c>
      <c r="I4" s="12">
        <f t="shared" si="2"/>
        <v>0.10997110748900157</v>
      </c>
      <c r="J4" s="11">
        <f t="shared" si="0"/>
        <v>0</v>
      </c>
    </row>
    <row r="5" spans="1:10" x14ac:dyDescent="0.25">
      <c r="A5" s="11">
        <f>brackets_gross!A14</f>
        <v>12000</v>
      </c>
      <c r="B5" s="12">
        <f>budget_income!A5</f>
        <v>0.29798954533928396</v>
      </c>
      <c r="C5" s="12">
        <f>budget_income!B5</f>
        <v>0.13072914595642257</v>
      </c>
      <c r="D5" s="11">
        <f>budget_income!C5</f>
        <v>36604.160867798317</v>
      </c>
      <c r="E5" s="11">
        <f>budget_income!D5</f>
        <v>12000</v>
      </c>
      <c r="F5" s="11">
        <f>budget_income!E5</f>
        <v>16000</v>
      </c>
      <c r="G5" s="32" t="b">
        <f>IF(A5&gt;output!$B$18-1, TRUE)</f>
        <v>1</v>
      </c>
      <c r="H5" s="33">
        <f t="shared" si="1"/>
        <v>0.13072914595642257</v>
      </c>
      <c r="I5" s="12">
        <f t="shared" si="2"/>
        <v>0.13072914595642257</v>
      </c>
      <c r="J5" s="11">
        <f t="shared" si="0"/>
        <v>0</v>
      </c>
    </row>
    <row r="6" spans="1:10" x14ac:dyDescent="0.25">
      <c r="A6" s="11">
        <f>brackets_gross!A15</f>
        <v>16000</v>
      </c>
      <c r="B6" s="12">
        <f>budget_income!A6</f>
        <v>0.42352223536727052</v>
      </c>
      <c r="C6" s="12">
        <f>budget_income!B6</f>
        <v>0.12553269002798656</v>
      </c>
      <c r="D6" s="11">
        <f>budget_income!C6</f>
        <v>35149.153207836236</v>
      </c>
      <c r="E6" s="11">
        <f>budget_income!D6</f>
        <v>16000</v>
      </c>
      <c r="F6" s="11">
        <f>budget_income!E6</f>
        <v>20000</v>
      </c>
      <c r="G6" s="32" t="b">
        <f>IF(A6&gt;output!$B$18-1, TRUE)</f>
        <v>1</v>
      </c>
      <c r="H6" s="33">
        <f t="shared" si="1"/>
        <v>0.12553269002798656</v>
      </c>
      <c r="I6" s="12">
        <f t="shared" si="2"/>
        <v>0.12553269002798656</v>
      </c>
      <c r="J6" s="11">
        <f t="shared" si="0"/>
        <v>0</v>
      </c>
    </row>
    <row r="7" spans="1:10" x14ac:dyDescent="0.25">
      <c r="A7" s="11">
        <f>brackets_gross!A16</f>
        <v>20000</v>
      </c>
      <c r="B7" s="12">
        <f>budget_income!A7</f>
        <v>0.53295653977902324</v>
      </c>
      <c r="C7" s="12">
        <f>budget_income!B7</f>
        <v>0.10943430441175273</v>
      </c>
      <c r="D7" s="11">
        <f>budget_income!C7</f>
        <v>30641.605235290765</v>
      </c>
      <c r="E7" s="11">
        <f>budget_income!D7</f>
        <v>20000</v>
      </c>
      <c r="F7" s="11">
        <f>budget_income!E7</f>
        <v>24000</v>
      </c>
      <c r="G7" s="32" t="b">
        <f>IF(A7&gt;output!$B$18-1, TRUE)</f>
        <v>1</v>
      </c>
      <c r="H7" s="33">
        <f t="shared" si="1"/>
        <v>0.10943430441175273</v>
      </c>
      <c r="I7" s="12">
        <f t="shared" si="2"/>
        <v>0.10943430441175273</v>
      </c>
      <c r="J7" s="11">
        <f t="shared" si="0"/>
        <v>0</v>
      </c>
    </row>
    <row r="8" spans="1:10" x14ac:dyDescent="0.25">
      <c r="A8" s="11">
        <f>brackets_gross!A17</f>
        <v>24000</v>
      </c>
      <c r="B8" s="12">
        <f>budget_income!A8</f>
        <v>0.62389098475352878</v>
      </c>
      <c r="C8" s="12">
        <f>budget_income!B8</f>
        <v>9.0934444974505535E-2</v>
      </c>
      <c r="D8" s="11">
        <f>budget_income!C8</f>
        <v>25461.64459286155</v>
      </c>
      <c r="E8" s="11">
        <f>budget_income!D8</f>
        <v>24000</v>
      </c>
      <c r="F8" s="11">
        <f>budget_income!E8</f>
        <v>28000</v>
      </c>
      <c r="G8" s="32" t="b">
        <f>IF(A8&gt;output!$B$18-1, TRUE)</f>
        <v>1</v>
      </c>
      <c r="H8" s="33">
        <f t="shared" si="1"/>
        <v>9.0934444974505535E-2</v>
      </c>
      <c r="I8" s="12">
        <f t="shared" si="2"/>
        <v>9.0934444974505535E-2</v>
      </c>
      <c r="J8" s="11">
        <f t="shared" si="0"/>
        <v>0</v>
      </c>
    </row>
    <row r="9" spans="1:10" x14ac:dyDescent="0.25">
      <c r="A9" s="11">
        <f>brackets_gross!A18</f>
        <v>28000</v>
      </c>
      <c r="B9" s="12">
        <f>budget_income!A9</f>
        <v>0.69761746273079428</v>
      </c>
      <c r="C9" s="12">
        <f>budget_income!B9</f>
        <v>7.3726477977265503E-2</v>
      </c>
      <c r="D9" s="11">
        <f>budget_income!C9</f>
        <v>20643.413833634342</v>
      </c>
      <c r="E9" s="11">
        <f>budget_income!D9</f>
        <v>28000</v>
      </c>
      <c r="F9" s="11">
        <f>budget_income!E9</f>
        <v>32000</v>
      </c>
      <c r="G9" s="32" t="b">
        <f>IF(A9&gt;output!$B$18-1, TRUE)</f>
        <v>1</v>
      </c>
      <c r="H9" s="33">
        <f t="shared" si="1"/>
        <v>7.3726477977265503E-2</v>
      </c>
      <c r="I9" s="12">
        <f t="shared" si="2"/>
        <v>7.3726477977265503E-2</v>
      </c>
      <c r="J9" s="11">
        <f t="shared" si="0"/>
        <v>0</v>
      </c>
    </row>
    <row r="10" spans="1:10" x14ac:dyDescent="0.25">
      <c r="A10" s="11">
        <f>brackets_gross!A19</f>
        <v>32000</v>
      </c>
      <c r="B10" s="12">
        <f>budget_income!A10</f>
        <v>0.75666018056121909</v>
      </c>
      <c r="C10" s="12">
        <f>budget_income!B10</f>
        <v>5.9042717830424807E-2</v>
      </c>
      <c r="D10" s="11">
        <f>budget_income!C10</f>
        <v>16531.960992518947</v>
      </c>
      <c r="E10" s="11">
        <f>budget_income!D10</f>
        <v>32000</v>
      </c>
      <c r="F10" s="11">
        <f>budget_income!E10</f>
        <v>36000</v>
      </c>
      <c r="G10" s="32" t="b">
        <f>IF(A10&gt;output!$B$18-1, TRUE)</f>
        <v>1</v>
      </c>
      <c r="H10" s="33">
        <f t="shared" si="1"/>
        <v>5.9042717830424807E-2</v>
      </c>
      <c r="I10" s="12">
        <f t="shared" si="2"/>
        <v>5.9042717830424807E-2</v>
      </c>
      <c r="J10" s="11">
        <f t="shared" si="0"/>
        <v>0</v>
      </c>
    </row>
    <row r="11" spans="1:10" x14ac:dyDescent="0.25">
      <c r="A11" s="11">
        <f>brackets_gross!A20</f>
        <v>36000</v>
      </c>
      <c r="B11" s="12">
        <f>budget_income!A11</f>
        <v>0.80368597546716247</v>
      </c>
      <c r="C11" s="12">
        <f>budget_income!B11</f>
        <v>4.7025794905943386E-2</v>
      </c>
      <c r="D11" s="11">
        <f>budget_income!C11</f>
        <v>13167.222573664149</v>
      </c>
      <c r="E11" s="11">
        <f>budget_income!D11</f>
        <v>36000</v>
      </c>
      <c r="F11" s="11">
        <f>budget_income!E11</f>
        <v>40000</v>
      </c>
      <c r="G11" s="32" t="b">
        <f>IF(A11&gt;output!$B$18-1, TRUE)</f>
        <v>1</v>
      </c>
      <c r="H11" s="33">
        <f t="shared" si="1"/>
        <v>4.7025794905943386E-2</v>
      </c>
      <c r="I11" s="12">
        <f t="shared" si="2"/>
        <v>4.7025794905943386E-2</v>
      </c>
      <c r="J11" s="11">
        <f t="shared" si="0"/>
        <v>0</v>
      </c>
    </row>
    <row r="12" spans="1:10" x14ac:dyDescent="0.25">
      <c r="A12" s="11">
        <f>brackets_gross!A21</f>
        <v>40000</v>
      </c>
      <c r="B12" s="12">
        <f>budget_income!A12</f>
        <v>0.84108586349787673</v>
      </c>
      <c r="C12" s="12">
        <f>budget_income!B12</f>
        <v>3.7399888030714257E-2</v>
      </c>
      <c r="D12" s="11">
        <f>budget_income!C12</f>
        <v>10471.968648599992</v>
      </c>
      <c r="E12" s="11">
        <f>budget_income!D12</f>
        <v>40000</v>
      </c>
      <c r="F12" s="11">
        <f>budget_income!E12</f>
        <v>44000</v>
      </c>
      <c r="G12" s="32" t="b">
        <f>IF(A12&gt;output!$B$18-1, TRUE)</f>
        <v>1</v>
      </c>
      <c r="H12" s="33">
        <f t="shared" si="1"/>
        <v>3.7399888030714257E-2</v>
      </c>
      <c r="I12" s="12">
        <f t="shared" si="2"/>
        <v>3.7399888030714257E-2</v>
      </c>
      <c r="J12" s="11">
        <f t="shared" si="0"/>
        <v>0</v>
      </c>
    </row>
    <row r="13" spans="1:10" x14ac:dyDescent="0.25">
      <c r="A13" s="11">
        <f>brackets_gross!A22</f>
        <v>44000</v>
      </c>
      <c r="B13" s="12">
        <f>budget_income!A13</f>
        <v>0.8708579151351048</v>
      </c>
      <c r="C13" s="12">
        <f>budget_income!B13</f>
        <v>2.977205163722807E-2</v>
      </c>
      <c r="D13" s="11">
        <f>budget_income!C13</f>
        <v>8336.1744584238604</v>
      </c>
      <c r="E13" s="11">
        <f>budget_income!D13</f>
        <v>44000</v>
      </c>
      <c r="F13" s="11">
        <f>budget_income!E13</f>
        <v>48000</v>
      </c>
      <c r="G13" s="32" t="b">
        <f>IF(A13&gt;output!$B$18-1, TRUE)</f>
        <v>1</v>
      </c>
      <c r="H13" s="33">
        <f t="shared" si="1"/>
        <v>2.977205163722807E-2</v>
      </c>
      <c r="I13" s="12">
        <f t="shared" si="2"/>
        <v>2.977205163722807E-2</v>
      </c>
      <c r="J13" s="11">
        <f t="shared" si="0"/>
        <v>0</v>
      </c>
    </row>
    <row r="14" spans="1:10" x14ac:dyDescent="0.25">
      <c r="A14" s="11">
        <f>brackets_gross!A23</f>
        <v>48000</v>
      </c>
      <c r="B14" s="12">
        <f>budget_income!A14</f>
        <v>0.89461434975318121</v>
      </c>
      <c r="C14" s="12">
        <f>budget_income!B14</f>
        <v>2.3756434618076416E-2</v>
      </c>
      <c r="D14" s="11">
        <f>budget_income!C14</f>
        <v>6651.8016930613967</v>
      </c>
      <c r="E14" s="11">
        <f>budget_income!D14</f>
        <v>48000</v>
      </c>
      <c r="F14" s="11">
        <f>budget_income!E14</f>
        <v>52000</v>
      </c>
      <c r="G14" s="32" t="b">
        <f>IF(A14&gt;output!$B$18-1, TRUE)</f>
        <v>1</v>
      </c>
      <c r="H14" s="33">
        <f t="shared" si="1"/>
        <v>2.3756434618076416E-2</v>
      </c>
      <c r="I14" s="12">
        <f t="shared" si="2"/>
        <v>2.3756434618076416E-2</v>
      </c>
      <c r="J14" s="11">
        <f t="shared" si="0"/>
        <v>0</v>
      </c>
    </row>
    <row r="15" spans="1:10" x14ac:dyDescent="0.25">
      <c r="A15" s="11">
        <f>brackets_gross!A24</f>
        <v>52000</v>
      </c>
      <c r="B15" s="12">
        <f>budget_income!A15</f>
        <v>0.9136324669428183</v>
      </c>
      <c r="C15" s="12">
        <f>budget_income!B15</f>
        <v>1.9018117189637085E-2</v>
      </c>
      <c r="D15" s="11">
        <f>budget_income!C15</f>
        <v>5325.0728130983834</v>
      </c>
      <c r="E15" s="11">
        <f>budget_income!D15</f>
        <v>52000</v>
      </c>
      <c r="F15" s="11">
        <f>budget_income!E15</f>
        <v>56000</v>
      </c>
      <c r="G15" s="32" t="b">
        <f>IF(A15&gt;output!$B$18-1, TRUE)</f>
        <v>1</v>
      </c>
      <c r="H15" s="33">
        <f t="shared" si="1"/>
        <v>1.9018117189637085E-2</v>
      </c>
      <c r="I15" s="12">
        <f t="shared" si="2"/>
        <v>1.9018117189637085E-2</v>
      </c>
      <c r="J15" s="11">
        <f t="shared" si="0"/>
        <v>0</v>
      </c>
    </row>
    <row r="16" spans="1:10" x14ac:dyDescent="0.25">
      <c r="A16" s="11">
        <f>brackets_gross!A25</f>
        <v>56000</v>
      </c>
      <c r="B16" s="12">
        <f>budget_income!A16</f>
        <v>0.92891483621211746</v>
      </c>
      <c r="C16" s="12">
        <f>budget_income!B16</f>
        <v>1.5282369269299156E-2</v>
      </c>
      <c r="D16" s="11">
        <f>budget_income!C16</f>
        <v>4279.0633954037639</v>
      </c>
      <c r="E16" s="11">
        <f>budget_income!D16</f>
        <v>56000</v>
      </c>
      <c r="F16" s="11">
        <f>budget_income!E16</f>
        <v>60000</v>
      </c>
      <c r="G16" s="32" t="b">
        <f>IF(A16&gt;output!$B$18-1, TRUE)</f>
        <v>1</v>
      </c>
      <c r="H16" s="33">
        <f t="shared" si="1"/>
        <v>1.5282369269299156E-2</v>
      </c>
      <c r="I16" s="12">
        <f t="shared" si="2"/>
        <v>1.5282369269299156E-2</v>
      </c>
      <c r="J16" s="11">
        <f t="shared" si="0"/>
        <v>0</v>
      </c>
    </row>
    <row r="17" spans="1:10" x14ac:dyDescent="0.25">
      <c r="A17" s="11">
        <f>brackets_gross!A26</f>
        <v>60000</v>
      </c>
      <c r="B17" s="12">
        <f>budget_income!A17</f>
        <v>0.94124514281637706</v>
      </c>
      <c r="C17" s="12">
        <f>budget_income!B17</f>
        <v>1.23303066042596E-2</v>
      </c>
      <c r="D17" s="11">
        <f>budget_income!C17</f>
        <v>3452.485849192688</v>
      </c>
      <c r="E17" s="11">
        <f>budget_income!D17</f>
        <v>60000</v>
      </c>
      <c r="F17" s="11">
        <f>budget_income!E17</f>
        <v>64000</v>
      </c>
      <c r="G17" s="32" t="b">
        <f>IF(A17&gt;output!$B$18-1, TRUE)</f>
        <v>1</v>
      </c>
      <c r="H17" s="33">
        <f t="shared" si="1"/>
        <v>1.23303066042596E-2</v>
      </c>
      <c r="I17" s="12">
        <f t="shared" si="2"/>
        <v>1.23303066042596E-2</v>
      </c>
      <c r="J17" s="11">
        <f t="shared" si="0"/>
        <v>0</v>
      </c>
    </row>
    <row r="18" spans="1:10" x14ac:dyDescent="0.25">
      <c r="A18" s="11">
        <f>brackets_gross!A27</f>
        <v>64000</v>
      </c>
      <c r="B18" s="12">
        <f>budget_income!A18</f>
        <v>0.9512353696817234</v>
      </c>
      <c r="C18" s="12">
        <f>budget_income!B18</f>
        <v>9.9902268653463411E-3</v>
      </c>
      <c r="D18" s="11">
        <f>budget_income!C18</f>
        <v>2797.2635222969757</v>
      </c>
      <c r="E18" s="11">
        <f>budget_income!D18</f>
        <v>64000</v>
      </c>
      <c r="F18" s="11">
        <f>budget_income!E18</f>
        <v>68000</v>
      </c>
      <c r="G18" s="32" t="b">
        <f>IF(A18&gt;output!$B$18-1, TRUE)</f>
        <v>1</v>
      </c>
      <c r="H18" s="33">
        <f t="shared" si="1"/>
        <v>9.9902268653463411E-3</v>
      </c>
      <c r="I18" s="12">
        <f t="shared" si="2"/>
        <v>9.9902268653463411E-3</v>
      </c>
      <c r="J18" s="11">
        <f t="shared" si="0"/>
        <v>0</v>
      </c>
    </row>
    <row r="19" spans="1:10" x14ac:dyDescent="0.25">
      <c r="A19" s="11">
        <f>brackets_gross!A28</f>
        <v>68000</v>
      </c>
      <c r="B19" s="12">
        <f>budget_income!A19</f>
        <v>0.95936388163194397</v>
      </c>
      <c r="C19" s="12">
        <f>budget_income!B19</f>
        <v>8.1285119502205738E-3</v>
      </c>
      <c r="D19" s="11">
        <f>budget_income!C19</f>
        <v>2275.9833460617606</v>
      </c>
      <c r="E19" s="11">
        <f>budget_income!D19</f>
        <v>68000</v>
      </c>
      <c r="F19" s="11">
        <f>budget_income!E19</f>
        <v>72000</v>
      </c>
      <c r="G19" s="32" t="b">
        <f>IF(A19&gt;output!$B$18-1, TRUE)</f>
        <v>1</v>
      </c>
      <c r="H19" s="33">
        <f t="shared" si="1"/>
        <v>8.1285119502205738E-3</v>
      </c>
      <c r="I19" s="12">
        <f t="shared" si="2"/>
        <v>8.1285119502205738E-3</v>
      </c>
      <c r="J19" s="11">
        <f t="shared" si="0"/>
        <v>0</v>
      </c>
    </row>
    <row r="20" spans="1:10" x14ac:dyDescent="0.25">
      <c r="A20" s="11">
        <f>brackets_gross!A29</f>
        <v>72000</v>
      </c>
      <c r="B20" s="12">
        <f>budget_income!A20</f>
        <v>0.96600542828303704</v>
      </c>
      <c r="C20" s="12">
        <f>budget_income!B20</f>
        <v>6.6415466510930665E-3</v>
      </c>
      <c r="D20" s="11">
        <f>budget_income!C20</f>
        <v>1859.6330623060587</v>
      </c>
      <c r="E20" s="11">
        <f>budget_income!D20</f>
        <v>72000</v>
      </c>
      <c r="F20" s="11">
        <f>budget_income!E20</f>
        <v>76000</v>
      </c>
      <c r="G20" s="32" t="b">
        <f>IF(A20&gt;output!$B$18-1, TRUE)</f>
        <v>1</v>
      </c>
      <c r="H20" s="33">
        <f t="shared" si="1"/>
        <v>6.6415466510930665E-3</v>
      </c>
      <c r="I20" s="12">
        <f t="shared" si="2"/>
        <v>6.6415466510930665E-3</v>
      </c>
      <c r="J20" s="11">
        <f t="shared" si="0"/>
        <v>0</v>
      </c>
    </row>
    <row r="21" spans="1:10" x14ac:dyDescent="0.25">
      <c r="A21" s="11">
        <f>brackets_gross!A30</f>
        <v>76000</v>
      </c>
      <c r="B21" s="12">
        <f>budget_income!A21</f>
        <v>0.97145447059655843</v>
      </c>
      <c r="C21" s="12">
        <f>budget_income!B21</f>
        <v>5.4490423135213906E-3</v>
      </c>
      <c r="D21" s="11">
        <f>budget_income!C21</f>
        <v>1525.7318477859894</v>
      </c>
      <c r="E21" s="11">
        <f>budget_income!D21</f>
        <v>76000</v>
      </c>
      <c r="F21" s="11">
        <f>budget_income!E21</f>
        <v>80000</v>
      </c>
      <c r="G21" s="32" t="b">
        <f>IF(A21&gt;output!$B$18-1, TRUE)</f>
        <v>1</v>
      </c>
      <c r="H21" s="33">
        <f t="shared" si="1"/>
        <v>5.4490423135213906E-3</v>
      </c>
      <c r="I21" s="12">
        <f t="shared" si="2"/>
        <v>5.4490423135213906E-3</v>
      </c>
      <c r="J21" s="11">
        <f t="shared" si="0"/>
        <v>0</v>
      </c>
    </row>
    <row r="22" spans="1:10" x14ac:dyDescent="0.25">
      <c r="A22" s="11">
        <f>brackets_gross!A31</f>
        <v>80000</v>
      </c>
      <c r="B22" s="12">
        <f>budget_income!A22</f>
        <v>0.97594319304391586</v>
      </c>
      <c r="C22" s="12">
        <f>budget_income!B22</f>
        <v>4.4887224473574294E-3</v>
      </c>
      <c r="D22" s="11">
        <f>budget_income!C22</f>
        <v>1256.8422852600802</v>
      </c>
      <c r="E22" s="11">
        <f>budget_income!D22</f>
        <v>80000</v>
      </c>
      <c r="F22" s="11">
        <f>budget_income!E22</f>
        <v>84000</v>
      </c>
      <c r="G22" s="32" t="b">
        <f>IF(A22&gt;output!$B$18-1, TRUE)</f>
        <v>1</v>
      </c>
      <c r="H22" s="33">
        <f t="shared" si="1"/>
        <v>4.4887224473574294E-3</v>
      </c>
      <c r="I22" s="12">
        <f t="shared" si="2"/>
        <v>4.4887224473574294E-3</v>
      </c>
      <c r="J22" s="11">
        <f t="shared" si="0"/>
        <v>0</v>
      </c>
    </row>
    <row r="23" spans="1:10" x14ac:dyDescent="0.25">
      <c r="A23" s="11">
        <f>brackets_gross!A32</f>
        <v>84000</v>
      </c>
      <c r="B23" s="12">
        <f>budget_income!A23</f>
        <v>0.97965537074643727</v>
      </c>
      <c r="C23" s="12">
        <f>budget_income!B23</f>
        <v>3.7121777025214131E-3</v>
      </c>
      <c r="D23" s="11">
        <f>budget_income!C23</f>
        <v>1039.4097567059957</v>
      </c>
      <c r="E23" s="11">
        <f>budget_income!D23</f>
        <v>84000</v>
      </c>
      <c r="F23" s="11">
        <f>budget_income!E23</f>
        <v>88000</v>
      </c>
      <c r="G23" s="32" t="b">
        <f>IF(A23&gt;output!$B$18-1, TRUE)</f>
        <v>1</v>
      </c>
      <c r="H23" s="33">
        <f t="shared" si="1"/>
        <v>3.7121777025214131E-3</v>
      </c>
      <c r="I23" s="12">
        <f t="shared" si="2"/>
        <v>3.7121777025214131E-3</v>
      </c>
      <c r="J23" s="11">
        <f t="shared" si="0"/>
        <v>0</v>
      </c>
    </row>
    <row r="24" spans="1:10" x14ac:dyDescent="0.25">
      <c r="A24" s="11">
        <f>brackets_gross!A33</f>
        <v>88000</v>
      </c>
      <c r="B24" s="12">
        <f>budget_income!A24</f>
        <v>0.98273703975803417</v>
      </c>
      <c r="C24" s="12">
        <f>budget_income!B24</f>
        <v>3.0816690115968992E-3</v>
      </c>
      <c r="D24" s="11">
        <f>budget_income!C24</f>
        <v>862.86732324713182</v>
      </c>
      <c r="E24" s="11">
        <f>budget_income!D24</f>
        <v>88000</v>
      </c>
      <c r="F24" s="11">
        <f>budget_income!E24</f>
        <v>92000</v>
      </c>
      <c r="G24" s="32" t="b">
        <f>IF(A24&gt;output!$B$18-1, TRUE)</f>
        <v>1</v>
      </c>
      <c r="H24" s="33">
        <f t="shared" si="1"/>
        <v>3.0816690115968992E-3</v>
      </c>
      <c r="I24" s="12">
        <f t="shared" si="2"/>
        <v>3.0816690115968992E-3</v>
      </c>
      <c r="J24" s="11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8D15-DAD3-4EF1-BD37-8525029D917C}">
  <dimension ref="A1:U37"/>
  <sheetViews>
    <sheetView workbookViewId="0">
      <selection activeCell="A17" sqref="A17:XFD17"/>
    </sheetView>
  </sheetViews>
  <sheetFormatPr defaultRowHeight="15" x14ac:dyDescent="0.25"/>
  <cols>
    <col min="1" max="1" width="16.7109375" bestFit="1" customWidth="1"/>
    <col min="2" max="2" width="14.5703125" bestFit="1" customWidth="1"/>
    <col min="3" max="3" width="19.7109375" bestFit="1" customWidth="1"/>
    <col min="4" max="4" width="19.140625" bestFit="1" customWidth="1"/>
    <col min="5" max="5" width="8.7109375" bestFit="1" customWidth="1"/>
    <col min="6" max="7" width="13.140625" bestFit="1" customWidth="1"/>
    <col min="8" max="8" width="14.5703125" bestFit="1" customWidth="1"/>
    <col min="9" max="9" width="6.140625" bestFit="1" customWidth="1"/>
    <col min="10" max="10" width="15.7109375" bestFit="1" customWidth="1"/>
    <col min="11" max="11" width="19" bestFit="1" customWidth="1"/>
    <col min="12" max="12" width="16.42578125" bestFit="1" customWidth="1"/>
    <col min="13" max="13" width="18.28515625" bestFit="1" customWidth="1"/>
    <col min="14" max="14" width="15.85546875" bestFit="1" customWidth="1"/>
    <col min="15" max="16" width="12.5703125" bestFit="1" customWidth="1"/>
    <col min="17" max="17" width="18.7109375" bestFit="1" customWidth="1"/>
  </cols>
  <sheetData>
    <row r="1" spans="1:21" s="157" customFormat="1" ht="19.5" thickBot="1" x14ac:dyDescent="0.35">
      <c r="A1" s="157" t="s">
        <v>33</v>
      </c>
      <c r="B1" s="157" t="s">
        <v>29</v>
      </c>
      <c r="C1" s="157" t="s">
        <v>28</v>
      </c>
      <c r="D1" s="157" t="s">
        <v>27</v>
      </c>
      <c r="E1" s="157" t="s">
        <v>84</v>
      </c>
      <c r="F1" s="157" t="s">
        <v>59</v>
      </c>
      <c r="G1" s="157" t="s">
        <v>116</v>
      </c>
      <c r="H1" s="157" t="s">
        <v>71</v>
      </c>
      <c r="I1" s="157" t="s">
        <v>72</v>
      </c>
      <c r="J1" s="157" t="s">
        <v>62</v>
      </c>
      <c r="K1" s="157" t="s">
        <v>67</v>
      </c>
      <c r="L1" s="157" t="s">
        <v>68</v>
      </c>
      <c r="M1" s="157" t="s">
        <v>69</v>
      </c>
      <c r="N1" s="157" t="s">
        <v>70</v>
      </c>
    </row>
    <row r="2" spans="1:21" ht="15.75" x14ac:dyDescent="0.25">
      <c r="A2" s="125">
        <f>brackets_gross!A11</f>
        <v>0</v>
      </c>
      <c r="B2" s="126">
        <f>MIN(output!$B$9,A2*output!$C$9)</f>
        <v>0</v>
      </c>
      <c r="C2" s="126">
        <f>A2*output!$D$9</f>
        <v>0</v>
      </c>
      <c r="D2" s="127">
        <f>A2-B2-C2</f>
        <v>0</v>
      </c>
      <c r="E2" s="128">
        <f>IFERROR((C2+B2)/A2,0)</f>
        <v>0</v>
      </c>
      <c r="F2" s="127">
        <f t="shared" ref="F2:F37" si="0">SUM(J2:N2)</f>
        <v>0</v>
      </c>
      <c r="G2" s="127">
        <f>F2+C2+B2</f>
        <v>0</v>
      </c>
      <c r="H2" s="127">
        <f t="shared" ref="H2:H37" si="1">A2-B2-C2-F2</f>
        <v>0</v>
      </c>
      <c r="I2" s="129">
        <f>IFERROR((B2+C2+F2)/A2,0)</f>
        <v>0</v>
      </c>
      <c r="J2" s="70">
        <f t="shared" ref="J2:J37" si="2">MIN(MAX(0,($D2-Q$6)*Q$8),Q$5)</f>
        <v>0</v>
      </c>
      <c r="K2" s="23">
        <f t="shared" ref="K2:K37" si="3">MIN(MAX(0,($D2-R$6)*R$8),R$5)</f>
        <v>0</v>
      </c>
      <c r="L2" s="23">
        <f t="shared" ref="L2:L37" si="4">MIN(MAX(0,($D2-S$6)*S$8),S$5)</f>
        <v>0</v>
      </c>
      <c r="M2" s="23">
        <f t="shared" ref="M2:M37" si="5">MIN(MAX(0,($D2-T$6)*T$8),T$5)</f>
        <v>0</v>
      </c>
      <c r="N2" s="71">
        <f t="shared" ref="N2:N37" si="6">MIN(MAX(0,($D2-U$6)*U$8),U$5)</f>
        <v>0</v>
      </c>
    </row>
    <row r="3" spans="1:21" ht="15.75" x14ac:dyDescent="0.25">
      <c r="A3" s="130">
        <f>brackets_gross!A12</f>
        <v>4000</v>
      </c>
      <c r="B3" s="60">
        <f>MIN(output!$B$9,A3*output!$C$9)</f>
        <v>332</v>
      </c>
      <c r="C3" s="60">
        <f>A3*output!$D$9</f>
        <v>106</v>
      </c>
      <c r="D3" s="44">
        <f t="shared" ref="D3:D32" si="7">A3-B3-C3</f>
        <v>3562</v>
      </c>
      <c r="E3" s="121">
        <f t="shared" ref="E3:E32" si="8">(C3+B3)/A3</f>
        <v>0.1095</v>
      </c>
      <c r="F3" s="44">
        <f t="shared" si="0"/>
        <v>0</v>
      </c>
      <c r="G3" s="44">
        <f t="shared" ref="G3:G37" si="9">F3+C3+B3</f>
        <v>438</v>
      </c>
      <c r="H3" s="44">
        <f t="shared" si="1"/>
        <v>3562</v>
      </c>
      <c r="I3" s="68">
        <f t="shared" ref="I3:I37" si="10">(B3+C3+F3)/A3</f>
        <v>0.1095</v>
      </c>
      <c r="J3" s="70">
        <f t="shared" si="2"/>
        <v>0</v>
      </c>
      <c r="K3" s="23">
        <f t="shared" si="3"/>
        <v>0</v>
      </c>
      <c r="L3" s="23">
        <f t="shared" si="4"/>
        <v>0</v>
      </c>
      <c r="M3" s="23">
        <f t="shared" si="5"/>
        <v>0</v>
      </c>
      <c r="N3" s="71">
        <f t="shared" si="6"/>
        <v>0</v>
      </c>
    </row>
    <row r="4" spans="1:21" ht="16.5" thickBot="1" x14ac:dyDescent="0.3">
      <c r="A4" s="130">
        <f>brackets_gross!A13</f>
        <v>8000</v>
      </c>
      <c r="B4" s="60">
        <f>MIN(output!$B$9,A4*output!$C$9)</f>
        <v>664</v>
      </c>
      <c r="C4" s="60">
        <f>A4*output!$D$9</f>
        <v>212</v>
      </c>
      <c r="D4" s="44">
        <f t="shared" si="7"/>
        <v>7124</v>
      </c>
      <c r="E4" s="121">
        <f t="shared" si="8"/>
        <v>0.1095</v>
      </c>
      <c r="F4" s="44">
        <f t="shared" si="0"/>
        <v>0</v>
      </c>
      <c r="G4" s="44">
        <f t="shared" si="9"/>
        <v>876</v>
      </c>
      <c r="H4" s="44">
        <f t="shared" si="1"/>
        <v>7124</v>
      </c>
      <c r="I4" s="68">
        <f t="shared" si="10"/>
        <v>0.1095</v>
      </c>
      <c r="J4" s="70">
        <f t="shared" si="2"/>
        <v>0</v>
      </c>
      <c r="K4" s="23">
        <f t="shared" si="3"/>
        <v>0</v>
      </c>
      <c r="L4" s="23">
        <f t="shared" si="4"/>
        <v>0</v>
      </c>
      <c r="M4" s="23">
        <f t="shared" si="5"/>
        <v>0</v>
      </c>
      <c r="N4" s="71">
        <f t="shared" si="6"/>
        <v>0</v>
      </c>
    </row>
    <row r="5" spans="1:21" ht="15.75" x14ac:dyDescent="0.25">
      <c r="A5" s="130">
        <f>brackets_gross!A14</f>
        <v>12000</v>
      </c>
      <c r="B5" s="60">
        <f>MIN(output!$B$9,A5*output!$C$9)</f>
        <v>996</v>
      </c>
      <c r="C5" s="60">
        <f>A5*output!$D$9</f>
        <v>318</v>
      </c>
      <c r="D5" s="44">
        <f t="shared" si="7"/>
        <v>10686</v>
      </c>
      <c r="E5" s="121">
        <f t="shared" si="8"/>
        <v>0.1095</v>
      </c>
      <c r="F5" s="44">
        <f t="shared" si="0"/>
        <v>0</v>
      </c>
      <c r="G5" s="44">
        <f t="shared" si="9"/>
        <v>1314</v>
      </c>
      <c r="H5" s="44">
        <f t="shared" si="1"/>
        <v>10686</v>
      </c>
      <c r="I5" s="68">
        <f t="shared" si="10"/>
        <v>0.1095</v>
      </c>
      <c r="J5" s="70">
        <f t="shared" si="2"/>
        <v>0</v>
      </c>
      <c r="K5" s="23">
        <f t="shared" si="3"/>
        <v>0</v>
      </c>
      <c r="L5" s="23">
        <f t="shared" si="4"/>
        <v>0</v>
      </c>
      <c r="M5" s="23">
        <f t="shared" si="5"/>
        <v>0</v>
      </c>
      <c r="N5" s="71">
        <f t="shared" si="6"/>
        <v>0</v>
      </c>
      <c r="P5" s="55" t="s">
        <v>63</v>
      </c>
      <c r="Q5" s="65">
        <f>IF((Q7-Q6)*Q8&lt;0,999999999,(Q7-Q6)*Q8)</f>
        <v>0</v>
      </c>
      <c r="R5" s="65">
        <f>IF((R7-R6)*R8&lt;0,999999999,(R7-R6)*R8)</f>
        <v>1700</v>
      </c>
      <c r="S5" s="65">
        <f>IF((S7-S6)*S8&lt;0,999999999,(S7-S6)*S8)</f>
        <v>2075</v>
      </c>
      <c r="T5" s="65">
        <f>IF((T7-T6)*T8&lt;0,999999999,(T7-T6)*T8)</f>
        <v>7110</v>
      </c>
      <c r="U5" s="49">
        <f>IF((U7-U6)*U8&lt;0,999999999,(U7-U6)*U8)</f>
        <v>999999999</v>
      </c>
    </row>
    <row r="6" spans="1:21" ht="15.75" x14ac:dyDescent="0.25">
      <c r="A6" s="130">
        <f>brackets_gross!A15</f>
        <v>16000</v>
      </c>
      <c r="B6" s="60">
        <f>MIN(output!$B$9,A6*output!$C$9)</f>
        <v>1328</v>
      </c>
      <c r="C6" s="60">
        <f>A6*output!$D$9</f>
        <v>424</v>
      </c>
      <c r="D6" s="44">
        <f t="shared" si="7"/>
        <v>14248</v>
      </c>
      <c r="E6" s="121">
        <f t="shared" si="8"/>
        <v>0.1095</v>
      </c>
      <c r="F6" s="44">
        <f t="shared" si="0"/>
        <v>0</v>
      </c>
      <c r="G6" s="44">
        <f t="shared" si="9"/>
        <v>1752</v>
      </c>
      <c r="H6" s="44">
        <f t="shared" si="1"/>
        <v>14248</v>
      </c>
      <c r="I6" s="68">
        <f t="shared" si="10"/>
        <v>0.1095</v>
      </c>
      <c r="J6" s="70">
        <f t="shared" si="2"/>
        <v>0</v>
      </c>
      <c r="K6" s="23">
        <f t="shared" si="3"/>
        <v>0</v>
      </c>
      <c r="L6" s="23">
        <f t="shared" si="4"/>
        <v>0</v>
      </c>
      <c r="M6" s="23">
        <f t="shared" si="5"/>
        <v>0</v>
      </c>
      <c r="N6" s="71">
        <f t="shared" si="6"/>
        <v>0</v>
      </c>
      <c r="P6" s="56" t="s">
        <v>64</v>
      </c>
      <c r="Q6" s="44">
        <v>0</v>
      </c>
      <c r="R6" s="73">
        <f>Q7</f>
        <v>19500</v>
      </c>
      <c r="S6" s="73">
        <f>R7</f>
        <v>28000</v>
      </c>
      <c r="T6" s="73">
        <f>S7</f>
        <v>36300</v>
      </c>
      <c r="U6" s="74">
        <f>T7</f>
        <v>60000</v>
      </c>
    </row>
    <row r="7" spans="1:21" ht="15.75" x14ac:dyDescent="0.25">
      <c r="A7" s="130">
        <f>brackets_gross!A16</f>
        <v>20000</v>
      </c>
      <c r="B7" s="60">
        <f>MIN(output!$B$9,A7*output!$C$9)</f>
        <v>1660</v>
      </c>
      <c r="C7" s="60">
        <f>A7*output!$D$9</f>
        <v>530</v>
      </c>
      <c r="D7" s="44">
        <f t="shared" si="7"/>
        <v>17810</v>
      </c>
      <c r="E7" s="121">
        <f t="shared" si="8"/>
        <v>0.1095</v>
      </c>
      <c r="F7" s="44">
        <f t="shared" si="0"/>
        <v>0</v>
      </c>
      <c r="G7" s="44">
        <f t="shared" si="9"/>
        <v>2190</v>
      </c>
      <c r="H7" s="44">
        <f t="shared" si="1"/>
        <v>17810</v>
      </c>
      <c r="I7" s="68">
        <f t="shared" si="10"/>
        <v>0.1095</v>
      </c>
      <c r="J7" s="70">
        <f t="shared" si="2"/>
        <v>0</v>
      </c>
      <c r="K7" s="23">
        <f t="shared" si="3"/>
        <v>0</v>
      </c>
      <c r="L7" s="23">
        <f t="shared" si="4"/>
        <v>0</v>
      </c>
      <c r="M7" s="23">
        <f t="shared" si="5"/>
        <v>0</v>
      </c>
      <c r="N7" s="71">
        <f t="shared" si="6"/>
        <v>0</v>
      </c>
      <c r="P7" s="56" t="s">
        <v>65</v>
      </c>
      <c r="Q7" s="73">
        <f>output!E9</f>
        <v>19500</v>
      </c>
      <c r="R7" s="73">
        <f>output!E10</f>
        <v>28000</v>
      </c>
      <c r="S7" s="73">
        <f>output!E11</f>
        <v>36300</v>
      </c>
      <c r="T7" s="73">
        <f>output!E12</f>
        <v>60000</v>
      </c>
      <c r="U7" s="73"/>
    </row>
    <row r="8" spans="1:21" ht="16.5" thickBot="1" x14ac:dyDescent="0.3">
      <c r="A8" s="130">
        <f>brackets_gross!A17</f>
        <v>24000</v>
      </c>
      <c r="B8" s="60">
        <f>MIN(output!$B$9,A8*output!$C$9)</f>
        <v>1992</v>
      </c>
      <c r="C8" s="60">
        <f>A8*output!$D$9</f>
        <v>636</v>
      </c>
      <c r="D8" s="44">
        <f t="shared" si="7"/>
        <v>21372</v>
      </c>
      <c r="E8" s="121">
        <f t="shared" si="8"/>
        <v>0.1095</v>
      </c>
      <c r="F8" s="44">
        <f t="shared" si="0"/>
        <v>374.40000000000003</v>
      </c>
      <c r="G8" s="44">
        <f t="shared" si="9"/>
        <v>3002.4</v>
      </c>
      <c r="H8" s="44">
        <f t="shared" si="1"/>
        <v>20997.599999999999</v>
      </c>
      <c r="I8" s="68">
        <f t="shared" si="10"/>
        <v>0.12510000000000002</v>
      </c>
      <c r="J8" s="70">
        <f t="shared" si="2"/>
        <v>0</v>
      </c>
      <c r="K8" s="23">
        <f t="shared" si="3"/>
        <v>374.40000000000003</v>
      </c>
      <c r="L8" s="23">
        <f t="shared" si="4"/>
        <v>0</v>
      </c>
      <c r="M8" s="23">
        <f t="shared" si="5"/>
        <v>0</v>
      </c>
      <c r="N8" s="71">
        <f t="shared" si="6"/>
        <v>0</v>
      </c>
      <c r="P8" s="57" t="s">
        <v>66</v>
      </c>
      <c r="Q8" s="7">
        <f>output!G9</f>
        <v>0</v>
      </c>
      <c r="R8" s="7">
        <f>output!G10</f>
        <v>0.2</v>
      </c>
      <c r="S8" s="7">
        <f>output!G11</f>
        <v>0.25</v>
      </c>
      <c r="T8" s="7">
        <f>output!G12</f>
        <v>0.3</v>
      </c>
      <c r="U8" s="7">
        <f>output!G13</f>
        <v>0.35</v>
      </c>
    </row>
    <row r="9" spans="1:21" ht="15.75" x14ac:dyDescent="0.25">
      <c r="A9" s="130">
        <f>brackets_gross!A18</f>
        <v>28000</v>
      </c>
      <c r="B9" s="60">
        <f>MIN(output!$B$9,A9*output!$C$9)</f>
        <v>2324</v>
      </c>
      <c r="C9" s="60">
        <f>A9*output!$D$9</f>
        <v>742</v>
      </c>
      <c r="D9" s="44">
        <f t="shared" si="7"/>
        <v>24934</v>
      </c>
      <c r="E9" s="121">
        <f t="shared" si="8"/>
        <v>0.1095</v>
      </c>
      <c r="F9" s="44">
        <f t="shared" si="0"/>
        <v>1086.8</v>
      </c>
      <c r="G9" s="44">
        <f t="shared" si="9"/>
        <v>4152.8</v>
      </c>
      <c r="H9" s="44">
        <f t="shared" si="1"/>
        <v>23847.200000000001</v>
      </c>
      <c r="I9" s="68">
        <f t="shared" si="10"/>
        <v>0.14831428571428573</v>
      </c>
      <c r="J9" s="70">
        <f t="shared" si="2"/>
        <v>0</v>
      </c>
      <c r="K9" s="23">
        <f t="shared" si="3"/>
        <v>1086.8</v>
      </c>
      <c r="L9" s="23">
        <f t="shared" si="4"/>
        <v>0</v>
      </c>
      <c r="M9" s="23">
        <f t="shared" si="5"/>
        <v>0</v>
      </c>
      <c r="N9" s="71">
        <f t="shared" si="6"/>
        <v>0</v>
      </c>
    </row>
    <row r="10" spans="1:21" ht="15.75" x14ac:dyDescent="0.25">
      <c r="A10" s="130">
        <f>brackets_gross!A19</f>
        <v>32000</v>
      </c>
      <c r="B10" s="60">
        <f>MIN(output!$B$9,A10*output!$C$9)</f>
        <v>2656</v>
      </c>
      <c r="C10" s="60">
        <f>A10*output!$D$9</f>
        <v>848</v>
      </c>
      <c r="D10" s="44">
        <f t="shared" si="7"/>
        <v>28496</v>
      </c>
      <c r="E10" s="121">
        <f t="shared" si="8"/>
        <v>0.1095</v>
      </c>
      <c r="F10" s="44">
        <f t="shared" si="0"/>
        <v>1824</v>
      </c>
      <c r="G10" s="44">
        <f t="shared" si="9"/>
        <v>5328</v>
      </c>
      <c r="H10" s="44">
        <f t="shared" si="1"/>
        <v>26672</v>
      </c>
      <c r="I10" s="68">
        <f t="shared" si="10"/>
        <v>0.16650000000000001</v>
      </c>
      <c r="J10" s="70">
        <f t="shared" si="2"/>
        <v>0</v>
      </c>
      <c r="K10" s="23">
        <f t="shared" si="3"/>
        <v>1700</v>
      </c>
      <c r="L10" s="23">
        <f t="shared" si="4"/>
        <v>124</v>
      </c>
      <c r="M10" s="23">
        <f t="shared" si="5"/>
        <v>0</v>
      </c>
      <c r="N10" s="71">
        <f t="shared" si="6"/>
        <v>0</v>
      </c>
      <c r="P10" t="str">
        <f>output!B8</f>
        <v>SS cap</v>
      </c>
      <c r="Q10" t="str">
        <f>output!C8</f>
        <v>SS rate</v>
      </c>
      <c r="R10" t="str">
        <f>output!D8</f>
        <v>Healh rate</v>
      </c>
    </row>
    <row r="11" spans="1:21" ht="15.75" x14ac:dyDescent="0.25">
      <c r="A11" s="130">
        <f>brackets_gross!A20</f>
        <v>36000</v>
      </c>
      <c r="B11" s="60">
        <f>MIN(output!$B$9,A11*output!$C$9)</f>
        <v>2988</v>
      </c>
      <c r="C11" s="60">
        <f>A11*output!$D$9</f>
        <v>954</v>
      </c>
      <c r="D11" s="44">
        <f t="shared" si="7"/>
        <v>32058</v>
      </c>
      <c r="E11" s="121">
        <f t="shared" si="8"/>
        <v>0.1095</v>
      </c>
      <c r="F11" s="44">
        <f t="shared" si="0"/>
        <v>2714.5</v>
      </c>
      <c r="G11" s="44">
        <f t="shared" si="9"/>
        <v>6656.5</v>
      </c>
      <c r="H11" s="44">
        <f t="shared" si="1"/>
        <v>29343.5</v>
      </c>
      <c r="I11" s="68">
        <f t="shared" si="10"/>
        <v>0.18490277777777778</v>
      </c>
      <c r="J11" s="70">
        <f t="shared" si="2"/>
        <v>0</v>
      </c>
      <c r="K11" s="23">
        <f t="shared" si="3"/>
        <v>1700</v>
      </c>
      <c r="L11" s="23">
        <f t="shared" si="4"/>
        <v>1014.5</v>
      </c>
      <c r="M11" s="23">
        <f t="shared" si="5"/>
        <v>0</v>
      </c>
      <c r="N11" s="71">
        <f t="shared" si="6"/>
        <v>0</v>
      </c>
      <c r="P11">
        <f>output!B9</f>
        <v>4514.87</v>
      </c>
      <c r="Q11" s="147">
        <f>output!C9</f>
        <v>8.3000000000000004E-2</v>
      </c>
      <c r="R11" s="147">
        <f>output!D9</f>
        <v>2.6499999999999999E-2</v>
      </c>
    </row>
    <row r="12" spans="1:21" ht="15.75" x14ac:dyDescent="0.25">
      <c r="A12" s="130">
        <f>brackets_gross!A21</f>
        <v>40000</v>
      </c>
      <c r="B12" s="60">
        <f>MIN(output!$B$9,A12*output!$C$9)</f>
        <v>3320</v>
      </c>
      <c r="C12" s="60">
        <f>A12*output!$D$9</f>
        <v>1060</v>
      </c>
      <c r="D12" s="44">
        <f t="shared" si="7"/>
        <v>35620</v>
      </c>
      <c r="E12" s="121">
        <f t="shared" si="8"/>
        <v>0.1095</v>
      </c>
      <c r="F12" s="44">
        <f t="shared" si="0"/>
        <v>3605</v>
      </c>
      <c r="G12" s="44">
        <f t="shared" si="9"/>
        <v>7985</v>
      </c>
      <c r="H12" s="44">
        <f t="shared" si="1"/>
        <v>32015</v>
      </c>
      <c r="I12" s="68">
        <f t="shared" si="10"/>
        <v>0.199625</v>
      </c>
      <c r="J12" s="70">
        <f t="shared" si="2"/>
        <v>0</v>
      </c>
      <c r="K12" s="23">
        <f t="shared" si="3"/>
        <v>1700</v>
      </c>
      <c r="L12" s="23">
        <f t="shared" si="4"/>
        <v>1905</v>
      </c>
      <c r="M12" s="23">
        <f t="shared" si="5"/>
        <v>0</v>
      </c>
      <c r="N12" s="71">
        <f t="shared" si="6"/>
        <v>0</v>
      </c>
    </row>
    <row r="13" spans="1:21" ht="15.75" x14ac:dyDescent="0.25">
      <c r="A13" s="130">
        <f>brackets_gross!A22</f>
        <v>44000</v>
      </c>
      <c r="B13" s="60">
        <f>MIN(output!$B$9,A13*output!$C$9)</f>
        <v>3652</v>
      </c>
      <c r="C13" s="60">
        <f>A13*output!$D$9</f>
        <v>1166</v>
      </c>
      <c r="D13" s="44">
        <f t="shared" si="7"/>
        <v>39182</v>
      </c>
      <c r="E13" s="121">
        <f t="shared" si="8"/>
        <v>0.1095</v>
      </c>
      <c r="F13" s="44">
        <f t="shared" si="0"/>
        <v>4639.6000000000004</v>
      </c>
      <c r="G13" s="44">
        <f t="shared" si="9"/>
        <v>9457.6</v>
      </c>
      <c r="H13" s="44">
        <f t="shared" si="1"/>
        <v>34542.400000000001</v>
      </c>
      <c r="I13" s="68">
        <f t="shared" si="10"/>
        <v>0.21494545454545455</v>
      </c>
      <c r="J13" s="70">
        <f t="shared" si="2"/>
        <v>0</v>
      </c>
      <c r="K13" s="23">
        <f t="shared" si="3"/>
        <v>1700</v>
      </c>
      <c r="L13" s="23">
        <f t="shared" si="4"/>
        <v>2075</v>
      </c>
      <c r="M13" s="23">
        <f t="shared" si="5"/>
        <v>864.6</v>
      </c>
      <c r="N13" s="71">
        <f t="shared" si="6"/>
        <v>0</v>
      </c>
    </row>
    <row r="14" spans="1:21" ht="15.75" x14ac:dyDescent="0.25">
      <c r="A14" s="130">
        <f>brackets_gross!A23</f>
        <v>48000</v>
      </c>
      <c r="B14" s="60">
        <f>MIN(output!$B$9,A14*output!$C$9)</f>
        <v>3984</v>
      </c>
      <c r="C14" s="60">
        <f>A14*output!$D$9</f>
        <v>1272</v>
      </c>
      <c r="D14" s="44">
        <f t="shared" si="7"/>
        <v>42744</v>
      </c>
      <c r="E14" s="121">
        <f t="shared" si="8"/>
        <v>0.1095</v>
      </c>
      <c r="F14" s="44">
        <f t="shared" si="0"/>
        <v>5708.2</v>
      </c>
      <c r="G14" s="44">
        <f t="shared" si="9"/>
        <v>10964.2</v>
      </c>
      <c r="H14" s="44">
        <f t="shared" si="1"/>
        <v>37035.800000000003</v>
      </c>
      <c r="I14" s="68">
        <f t="shared" si="10"/>
        <v>0.22842083333333335</v>
      </c>
      <c r="J14" s="70">
        <f t="shared" si="2"/>
        <v>0</v>
      </c>
      <c r="K14" s="23">
        <f t="shared" si="3"/>
        <v>1700</v>
      </c>
      <c r="L14" s="23">
        <f t="shared" si="4"/>
        <v>2075</v>
      </c>
      <c r="M14" s="23">
        <f t="shared" si="5"/>
        <v>1933.1999999999998</v>
      </c>
      <c r="N14" s="71">
        <f t="shared" si="6"/>
        <v>0</v>
      </c>
    </row>
    <row r="15" spans="1:21" ht="15.75" x14ac:dyDescent="0.25">
      <c r="A15" s="130">
        <f>brackets_gross!A24</f>
        <v>52000</v>
      </c>
      <c r="B15" s="60">
        <f>MIN(output!$B$9,A15*output!$C$9)</f>
        <v>4316</v>
      </c>
      <c r="C15" s="60">
        <f>A15*output!$D$9</f>
        <v>1378</v>
      </c>
      <c r="D15" s="44">
        <f t="shared" si="7"/>
        <v>46306</v>
      </c>
      <c r="E15" s="121">
        <f t="shared" si="8"/>
        <v>0.1095</v>
      </c>
      <c r="F15" s="44">
        <f t="shared" si="0"/>
        <v>6776.7999999999993</v>
      </c>
      <c r="G15" s="44">
        <f t="shared" si="9"/>
        <v>12470.8</v>
      </c>
      <c r="H15" s="44">
        <f t="shared" si="1"/>
        <v>39529.199999999997</v>
      </c>
      <c r="I15" s="68">
        <f t="shared" si="10"/>
        <v>0.23982307692307692</v>
      </c>
      <c r="J15" s="70">
        <f t="shared" si="2"/>
        <v>0</v>
      </c>
      <c r="K15" s="23">
        <f t="shared" si="3"/>
        <v>1700</v>
      </c>
      <c r="L15" s="23">
        <f t="shared" si="4"/>
        <v>2075</v>
      </c>
      <c r="M15" s="23">
        <f t="shared" si="5"/>
        <v>3001.7999999999997</v>
      </c>
      <c r="N15" s="71">
        <f t="shared" si="6"/>
        <v>0</v>
      </c>
    </row>
    <row r="16" spans="1:21" ht="15.75" x14ac:dyDescent="0.25">
      <c r="A16" s="130">
        <f>brackets_gross!A25</f>
        <v>56000</v>
      </c>
      <c r="B16" s="60">
        <f>MIN(output!$B$9,A16*output!$C$9)</f>
        <v>4514.87</v>
      </c>
      <c r="C16" s="60">
        <f>A16*output!$D$9</f>
        <v>1484</v>
      </c>
      <c r="D16" s="44">
        <f t="shared" si="7"/>
        <v>50001.13</v>
      </c>
      <c r="E16" s="121">
        <f t="shared" si="8"/>
        <v>0.10712267857142857</v>
      </c>
      <c r="F16" s="44">
        <f t="shared" si="0"/>
        <v>7885.338999999999</v>
      </c>
      <c r="G16" s="44">
        <f t="shared" si="9"/>
        <v>13884.208999999999</v>
      </c>
      <c r="H16" s="44">
        <f t="shared" si="1"/>
        <v>42115.790999999997</v>
      </c>
      <c r="I16" s="68">
        <f t="shared" si="10"/>
        <v>0.24793230357142856</v>
      </c>
      <c r="J16" s="70">
        <f t="shared" si="2"/>
        <v>0</v>
      </c>
      <c r="K16" s="23">
        <f t="shared" si="3"/>
        <v>1700</v>
      </c>
      <c r="L16" s="23">
        <f t="shared" si="4"/>
        <v>2075</v>
      </c>
      <c r="M16" s="23">
        <f t="shared" si="5"/>
        <v>4110.338999999999</v>
      </c>
      <c r="N16" s="71">
        <f t="shared" si="6"/>
        <v>0</v>
      </c>
    </row>
    <row r="17" spans="1:14" ht="15.75" x14ac:dyDescent="0.25">
      <c r="A17" s="130">
        <f>brackets_gross!A26</f>
        <v>60000</v>
      </c>
      <c r="B17" s="60">
        <f>MIN(output!$B$9,A17*output!$C$9)</f>
        <v>4514.87</v>
      </c>
      <c r="C17" s="60">
        <f>A17*output!$D$9</f>
        <v>1590</v>
      </c>
      <c r="D17" s="44">
        <f t="shared" si="7"/>
        <v>53895.13</v>
      </c>
      <c r="E17" s="121">
        <f t="shared" si="8"/>
        <v>0.10174783333333333</v>
      </c>
      <c r="F17" s="44">
        <f t="shared" si="0"/>
        <v>9053.5389999999989</v>
      </c>
      <c r="G17" s="44">
        <f t="shared" si="9"/>
        <v>15158.409</v>
      </c>
      <c r="H17" s="44">
        <f t="shared" si="1"/>
        <v>44841.591</v>
      </c>
      <c r="I17" s="68">
        <f t="shared" si="10"/>
        <v>0.25264015000000001</v>
      </c>
      <c r="J17" s="70">
        <f t="shared" si="2"/>
        <v>0</v>
      </c>
      <c r="K17" s="23">
        <f t="shared" si="3"/>
        <v>1700</v>
      </c>
      <c r="L17" s="23">
        <f t="shared" si="4"/>
        <v>2075</v>
      </c>
      <c r="M17" s="23">
        <f t="shared" si="5"/>
        <v>5278.5389999999989</v>
      </c>
      <c r="N17" s="71">
        <f t="shared" si="6"/>
        <v>0</v>
      </c>
    </row>
    <row r="18" spans="1:14" ht="15.75" x14ac:dyDescent="0.25">
      <c r="A18" s="130">
        <f>brackets_gross!A27</f>
        <v>64000</v>
      </c>
      <c r="B18" s="60">
        <f>MIN(output!$B$9,A18*output!$C$9)</f>
        <v>4514.87</v>
      </c>
      <c r="C18" s="60">
        <f>A18*output!$D$9</f>
        <v>1696</v>
      </c>
      <c r="D18" s="44">
        <f t="shared" si="7"/>
        <v>57789.13</v>
      </c>
      <c r="E18" s="121">
        <f t="shared" si="8"/>
        <v>9.7044843749999998E-2</v>
      </c>
      <c r="F18" s="44">
        <f t="shared" si="0"/>
        <v>10221.738999999998</v>
      </c>
      <c r="G18" s="44">
        <f t="shared" si="9"/>
        <v>16432.608999999997</v>
      </c>
      <c r="H18" s="44">
        <f t="shared" si="1"/>
        <v>47567.391000000003</v>
      </c>
      <c r="I18" s="68">
        <f t="shared" si="10"/>
        <v>0.25675951562499993</v>
      </c>
      <c r="J18" s="70">
        <f t="shared" si="2"/>
        <v>0</v>
      </c>
      <c r="K18" s="23">
        <f t="shared" si="3"/>
        <v>1700</v>
      </c>
      <c r="L18" s="23">
        <f t="shared" si="4"/>
        <v>2075</v>
      </c>
      <c r="M18" s="23">
        <f t="shared" si="5"/>
        <v>6446.7389999999987</v>
      </c>
      <c r="N18" s="71">
        <f t="shared" si="6"/>
        <v>0</v>
      </c>
    </row>
    <row r="19" spans="1:14" ht="15.75" x14ac:dyDescent="0.25">
      <c r="A19" s="130">
        <f>brackets_gross!A28</f>
        <v>68000</v>
      </c>
      <c r="B19" s="60">
        <f>MIN(output!$B$9,A19*output!$C$9)</f>
        <v>4514.87</v>
      </c>
      <c r="C19" s="60">
        <f>A19*output!$D$9</f>
        <v>1802</v>
      </c>
      <c r="D19" s="44">
        <f t="shared" si="7"/>
        <v>61683.13</v>
      </c>
      <c r="E19" s="121">
        <f t="shared" si="8"/>
        <v>9.2895147058823527E-2</v>
      </c>
      <c r="F19" s="44">
        <f t="shared" si="0"/>
        <v>11474.095499999999</v>
      </c>
      <c r="G19" s="44">
        <f t="shared" si="9"/>
        <v>17790.965499999998</v>
      </c>
      <c r="H19" s="44">
        <f t="shared" si="1"/>
        <v>50209.034499999994</v>
      </c>
      <c r="I19" s="68">
        <f t="shared" si="10"/>
        <v>0.26163184558823527</v>
      </c>
      <c r="J19" s="70">
        <f t="shared" si="2"/>
        <v>0</v>
      </c>
      <c r="K19" s="23">
        <f t="shared" si="3"/>
        <v>1700</v>
      </c>
      <c r="L19" s="23">
        <f t="shared" si="4"/>
        <v>2075</v>
      </c>
      <c r="M19" s="23">
        <f t="shared" si="5"/>
        <v>7110</v>
      </c>
      <c r="N19" s="71">
        <f t="shared" si="6"/>
        <v>589.09549999999899</v>
      </c>
    </row>
    <row r="20" spans="1:14" ht="15.75" x14ac:dyDescent="0.25">
      <c r="A20" s="130">
        <f>brackets_gross!A29</f>
        <v>72000</v>
      </c>
      <c r="B20" s="60">
        <f>MIN(output!$B$9,A20*output!$C$9)</f>
        <v>4514.87</v>
      </c>
      <c r="C20" s="60">
        <f>A20*output!$D$9</f>
        <v>1908</v>
      </c>
      <c r="D20" s="44">
        <f t="shared" si="7"/>
        <v>65577.13</v>
      </c>
      <c r="E20" s="121">
        <f t="shared" si="8"/>
        <v>8.920652777777778E-2</v>
      </c>
      <c r="F20" s="44">
        <f t="shared" si="0"/>
        <v>12836.995500000001</v>
      </c>
      <c r="G20" s="44">
        <f t="shared" si="9"/>
        <v>19259.8655</v>
      </c>
      <c r="H20" s="44">
        <f t="shared" si="1"/>
        <v>52740.1345</v>
      </c>
      <c r="I20" s="68">
        <f t="shared" si="10"/>
        <v>0.26749813194444444</v>
      </c>
      <c r="J20" s="70">
        <f t="shared" si="2"/>
        <v>0</v>
      </c>
      <c r="K20" s="23">
        <f t="shared" si="3"/>
        <v>1700</v>
      </c>
      <c r="L20" s="23">
        <f t="shared" si="4"/>
        <v>2075</v>
      </c>
      <c r="M20" s="23">
        <f t="shared" si="5"/>
        <v>7110</v>
      </c>
      <c r="N20" s="71">
        <f t="shared" si="6"/>
        <v>1951.9955000000016</v>
      </c>
    </row>
    <row r="21" spans="1:14" ht="15.75" x14ac:dyDescent="0.25">
      <c r="A21" s="130">
        <f>brackets_gross!A30</f>
        <v>76000</v>
      </c>
      <c r="B21" s="60">
        <f>MIN(output!$B$9,A21*output!$C$9)</f>
        <v>4514.87</v>
      </c>
      <c r="C21" s="60">
        <f>A21*output!$D$9</f>
        <v>2014</v>
      </c>
      <c r="D21" s="44">
        <f t="shared" si="7"/>
        <v>69471.13</v>
      </c>
      <c r="E21" s="121">
        <f t="shared" si="8"/>
        <v>8.5906184210526315E-2</v>
      </c>
      <c r="F21" s="44">
        <f t="shared" si="0"/>
        <v>14199.895500000002</v>
      </c>
      <c r="G21" s="44">
        <f t="shared" si="9"/>
        <v>20728.765500000001</v>
      </c>
      <c r="H21" s="44">
        <f t="shared" si="1"/>
        <v>55271.234500000006</v>
      </c>
      <c r="I21" s="68">
        <f t="shared" si="10"/>
        <v>0.27274691447368421</v>
      </c>
      <c r="J21" s="70">
        <f t="shared" si="2"/>
        <v>0</v>
      </c>
      <c r="K21" s="23">
        <f t="shared" si="3"/>
        <v>1700</v>
      </c>
      <c r="L21" s="23">
        <f t="shared" si="4"/>
        <v>2075</v>
      </c>
      <c r="M21" s="23">
        <f t="shared" si="5"/>
        <v>7110</v>
      </c>
      <c r="N21" s="71">
        <f t="shared" si="6"/>
        <v>3314.8955000000014</v>
      </c>
    </row>
    <row r="22" spans="1:14" ht="15.75" x14ac:dyDescent="0.25">
      <c r="A22" s="130">
        <f>brackets_gross!A31</f>
        <v>80000</v>
      </c>
      <c r="B22" s="60">
        <f>MIN(output!$B$9,A22*output!$C$9)</f>
        <v>4514.87</v>
      </c>
      <c r="C22" s="60">
        <f>A22*output!$D$9</f>
        <v>2120</v>
      </c>
      <c r="D22" s="44">
        <f t="shared" si="7"/>
        <v>73365.13</v>
      </c>
      <c r="E22" s="121">
        <f t="shared" si="8"/>
        <v>8.2935874999999992E-2</v>
      </c>
      <c r="F22" s="44">
        <f t="shared" si="0"/>
        <v>15562.7955</v>
      </c>
      <c r="G22" s="44">
        <f t="shared" si="9"/>
        <v>22197.665499999999</v>
      </c>
      <c r="H22" s="44">
        <f t="shared" si="1"/>
        <v>57802.334500000004</v>
      </c>
      <c r="I22" s="68">
        <f t="shared" si="10"/>
        <v>0.27747081875000001</v>
      </c>
      <c r="J22" s="70">
        <f t="shared" si="2"/>
        <v>0</v>
      </c>
      <c r="K22" s="23">
        <f t="shared" si="3"/>
        <v>1700</v>
      </c>
      <c r="L22" s="23">
        <f t="shared" si="4"/>
        <v>2075</v>
      </c>
      <c r="M22" s="23">
        <f t="shared" si="5"/>
        <v>7110</v>
      </c>
      <c r="N22" s="71">
        <f t="shared" si="6"/>
        <v>4677.7955000000011</v>
      </c>
    </row>
    <row r="23" spans="1:14" ht="15.75" x14ac:dyDescent="0.25">
      <c r="A23" s="130">
        <f>brackets_gross!A32</f>
        <v>84000</v>
      </c>
      <c r="B23" s="60">
        <f>MIN(output!$B$9,A23*output!$C$9)</f>
        <v>4514.87</v>
      </c>
      <c r="C23" s="60">
        <f>A23*output!$D$9</f>
        <v>2226</v>
      </c>
      <c r="D23" s="44">
        <f t="shared" si="7"/>
        <v>77259.13</v>
      </c>
      <c r="E23" s="121">
        <f t="shared" si="8"/>
        <v>8.0248452380952379E-2</v>
      </c>
      <c r="F23" s="44">
        <f t="shared" si="0"/>
        <v>16925.695500000002</v>
      </c>
      <c r="G23" s="44">
        <f t="shared" si="9"/>
        <v>23666.565500000001</v>
      </c>
      <c r="H23" s="44">
        <f t="shared" si="1"/>
        <v>60333.434500000003</v>
      </c>
      <c r="I23" s="68">
        <f t="shared" si="10"/>
        <v>0.28174482738095241</v>
      </c>
      <c r="J23" s="70">
        <f t="shared" si="2"/>
        <v>0</v>
      </c>
      <c r="K23" s="23">
        <f t="shared" si="3"/>
        <v>1700</v>
      </c>
      <c r="L23" s="23">
        <f t="shared" si="4"/>
        <v>2075</v>
      </c>
      <c r="M23" s="23">
        <f t="shared" si="5"/>
        <v>7110</v>
      </c>
      <c r="N23" s="71">
        <f t="shared" si="6"/>
        <v>6040.6955000000016</v>
      </c>
    </row>
    <row r="24" spans="1:14" ht="15.75" x14ac:dyDescent="0.25">
      <c r="A24" s="130">
        <f>brackets_gross!A33</f>
        <v>88000</v>
      </c>
      <c r="B24" s="60">
        <f>MIN(output!$B$9,A24*output!$C$9)</f>
        <v>4514.87</v>
      </c>
      <c r="C24" s="60">
        <f>A24*output!$D$9</f>
        <v>2332</v>
      </c>
      <c r="D24" s="44">
        <f t="shared" si="7"/>
        <v>81153.13</v>
      </c>
      <c r="E24" s="121">
        <f t="shared" si="8"/>
        <v>7.7805340909090914E-2</v>
      </c>
      <c r="F24" s="44">
        <f t="shared" si="0"/>
        <v>18288.595500000003</v>
      </c>
      <c r="G24" s="44">
        <f t="shared" si="9"/>
        <v>25135.465500000002</v>
      </c>
      <c r="H24" s="44">
        <f t="shared" si="1"/>
        <v>62864.534500000002</v>
      </c>
      <c r="I24" s="68">
        <f t="shared" si="10"/>
        <v>0.28563028977272731</v>
      </c>
      <c r="J24" s="70">
        <f t="shared" si="2"/>
        <v>0</v>
      </c>
      <c r="K24" s="23">
        <f t="shared" si="3"/>
        <v>1700</v>
      </c>
      <c r="L24" s="23">
        <f t="shared" si="4"/>
        <v>2075</v>
      </c>
      <c r="M24" s="23">
        <f t="shared" si="5"/>
        <v>7110</v>
      </c>
      <c r="N24" s="71">
        <f t="shared" si="6"/>
        <v>7403.5955000000013</v>
      </c>
    </row>
    <row r="25" spans="1:14" ht="15.75" x14ac:dyDescent="0.25">
      <c r="A25" s="130">
        <f>brackets_gross!A34</f>
        <v>92000</v>
      </c>
      <c r="B25" s="60">
        <f>MIN(output!$B$9,A25*output!$C$9)</f>
        <v>4514.87</v>
      </c>
      <c r="C25" s="60">
        <f>A25*output!$D$9</f>
        <v>2438</v>
      </c>
      <c r="D25" s="44">
        <f t="shared" si="7"/>
        <v>85047.13</v>
      </c>
      <c r="E25" s="121">
        <f t="shared" si="8"/>
        <v>7.5574673913043483E-2</v>
      </c>
      <c r="F25" s="44">
        <f t="shared" si="0"/>
        <v>19651.495500000001</v>
      </c>
      <c r="G25" s="44">
        <f t="shared" si="9"/>
        <v>26604.3655</v>
      </c>
      <c r="H25" s="44">
        <f t="shared" si="1"/>
        <v>65395.6345</v>
      </c>
      <c r="I25" s="68">
        <f t="shared" si="10"/>
        <v>0.28917788586956522</v>
      </c>
      <c r="J25" s="70">
        <f t="shared" si="2"/>
        <v>0</v>
      </c>
      <c r="K25" s="23">
        <f t="shared" si="3"/>
        <v>1700</v>
      </c>
      <c r="L25" s="23">
        <f t="shared" si="4"/>
        <v>2075</v>
      </c>
      <c r="M25" s="23">
        <f t="shared" si="5"/>
        <v>7110</v>
      </c>
      <c r="N25" s="71">
        <f t="shared" si="6"/>
        <v>8766.4955000000009</v>
      </c>
    </row>
    <row r="26" spans="1:14" ht="15.75" x14ac:dyDescent="0.25">
      <c r="A26" s="130">
        <f>brackets_gross!A35</f>
        <v>96000</v>
      </c>
      <c r="B26" s="60">
        <f>MIN(output!$B$9,A26*output!$C$9)</f>
        <v>4514.87</v>
      </c>
      <c r="C26" s="60">
        <f>A26*output!$D$9</f>
        <v>2544</v>
      </c>
      <c r="D26" s="44">
        <f t="shared" si="7"/>
        <v>88941.13</v>
      </c>
      <c r="E26" s="121">
        <f t="shared" si="8"/>
        <v>7.3529895833333331E-2</v>
      </c>
      <c r="F26" s="44">
        <f t="shared" si="0"/>
        <v>21014.395499999999</v>
      </c>
      <c r="G26" s="44">
        <f t="shared" si="9"/>
        <v>28073.265499999998</v>
      </c>
      <c r="H26" s="44">
        <f t="shared" si="1"/>
        <v>67926.734500000006</v>
      </c>
      <c r="I26" s="68">
        <f t="shared" si="10"/>
        <v>0.29242984895833329</v>
      </c>
      <c r="J26" s="70">
        <f t="shared" si="2"/>
        <v>0</v>
      </c>
      <c r="K26" s="23">
        <f t="shared" si="3"/>
        <v>1700</v>
      </c>
      <c r="L26" s="23">
        <f t="shared" si="4"/>
        <v>2075</v>
      </c>
      <c r="M26" s="23">
        <f t="shared" si="5"/>
        <v>7110</v>
      </c>
      <c r="N26" s="71">
        <f t="shared" si="6"/>
        <v>10129.395500000001</v>
      </c>
    </row>
    <row r="27" spans="1:14" ht="15.75" x14ac:dyDescent="0.25">
      <c r="A27" s="130">
        <f>brackets_gross!A36</f>
        <v>100000</v>
      </c>
      <c r="B27" s="60">
        <f>MIN(output!$B$9,A27*output!$C$9)</f>
        <v>4514.87</v>
      </c>
      <c r="C27" s="60">
        <f>A27*output!$D$9</f>
        <v>2650</v>
      </c>
      <c r="D27" s="44">
        <f t="shared" si="7"/>
        <v>92835.13</v>
      </c>
      <c r="E27" s="121">
        <f t="shared" si="8"/>
        <v>7.1648699999999996E-2</v>
      </c>
      <c r="F27" s="44">
        <f t="shared" si="0"/>
        <v>22377.2955</v>
      </c>
      <c r="G27" s="44">
        <f t="shared" si="9"/>
        <v>29542.165499999999</v>
      </c>
      <c r="H27" s="44">
        <f t="shared" si="1"/>
        <v>70457.834499999997</v>
      </c>
      <c r="I27" s="68">
        <f t="shared" si="10"/>
        <v>0.29542165500000001</v>
      </c>
      <c r="J27" s="70">
        <f t="shared" si="2"/>
        <v>0</v>
      </c>
      <c r="K27" s="23">
        <f t="shared" si="3"/>
        <v>1700</v>
      </c>
      <c r="L27" s="23">
        <f t="shared" si="4"/>
        <v>2075</v>
      </c>
      <c r="M27" s="23">
        <f t="shared" si="5"/>
        <v>7110</v>
      </c>
      <c r="N27" s="71">
        <f t="shared" si="6"/>
        <v>11492.2955</v>
      </c>
    </row>
    <row r="28" spans="1:14" ht="15.75" x14ac:dyDescent="0.25">
      <c r="A28" s="130">
        <f>brackets_gross!A37</f>
        <v>104000</v>
      </c>
      <c r="B28" s="60">
        <f>MIN(output!$B$9,A28*output!$C$9)</f>
        <v>4514.87</v>
      </c>
      <c r="C28" s="60">
        <f>A28*output!$D$9</f>
        <v>2756</v>
      </c>
      <c r="D28" s="44">
        <f t="shared" si="7"/>
        <v>96729.13</v>
      </c>
      <c r="E28" s="121">
        <f t="shared" si="8"/>
        <v>6.9912211538461541E-2</v>
      </c>
      <c r="F28" s="44">
        <f t="shared" si="0"/>
        <v>23740.195500000002</v>
      </c>
      <c r="G28" s="44">
        <f t="shared" si="9"/>
        <v>31011.065500000001</v>
      </c>
      <c r="H28" s="44">
        <f t="shared" si="1"/>
        <v>72988.934500000003</v>
      </c>
      <c r="I28" s="68">
        <f t="shared" si="10"/>
        <v>0.29818332211538462</v>
      </c>
      <c r="J28" s="70">
        <f t="shared" si="2"/>
        <v>0</v>
      </c>
      <c r="K28" s="23">
        <f t="shared" si="3"/>
        <v>1700</v>
      </c>
      <c r="L28" s="23">
        <f t="shared" si="4"/>
        <v>2075</v>
      </c>
      <c r="M28" s="23">
        <f t="shared" si="5"/>
        <v>7110</v>
      </c>
      <c r="N28" s="71">
        <f t="shared" si="6"/>
        <v>12855.195500000002</v>
      </c>
    </row>
    <row r="29" spans="1:14" ht="15.75" x14ac:dyDescent="0.25">
      <c r="A29" s="130">
        <f>brackets_gross!A38</f>
        <v>108000</v>
      </c>
      <c r="B29" s="60">
        <f>MIN(output!$B$9,A29*output!$C$9)</f>
        <v>4514.87</v>
      </c>
      <c r="C29" s="60">
        <f>A29*output!$D$9</f>
        <v>2862</v>
      </c>
      <c r="D29" s="44">
        <f t="shared" si="7"/>
        <v>100623.13</v>
      </c>
      <c r="E29" s="121">
        <f t="shared" si="8"/>
        <v>6.8304351851851852E-2</v>
      </c>
      <c r="F29" s="44">
        <f t="shared" si="0"/>
        <v>25103.095500000003</v>
      </c>
      <c r="G29" s="44">
        <f t="shared" si="9"/>
        <v>32479.965500000002</v>
      </c>
      <c r="H29" s="44">
        <f t="shared" si="1"/>
        <v>75520.034500000009</v>
      </c>
      <c r="I29" s="68">
        <f t="shared" si="10"/>
        <v>0.3007404212962963</v>
      </c>
      <c r="J29" s="70">
        <f t="shared" si="2"/>
        <v>0</v>
      </c>
      <c r="K29" s="23">
        <f t="shared" si="3"/>
        <v>1700</v>
      </c>
      <c r="L29" s="23">
        <f t="shared" si="4"/>
        <v>2075</v>
      </c>
      <c r="M29" s="23">
        <f t="shared" si="5"/>
        <v>7110</v>
      </c>
      <c r="N29" s="71">
        <f t="shared" si="6"/>
        <v>14218.095500000001</v>
      </c>
    </row>
    <row r="30" spans="1:14" ht="15.75" x14ac:dyDescent="0.25">
      <c r="A30" s="130">
        <f>brackets_gross!A39</f>
        <v>112000</v>
      </c>
      <c r="B30" s="60">
        <f>MIN(output!$B$9,A30*output!$C$9)</f>
        <v>4514.87</v>
      </c>
      <c r="C30" s="60">
        <f>A30*output!$D$9</f>
        <v>2968</v>
      </c>
      <c r="D30" s="44">
        <f t="shared" si="7"/>
        <v>104517.13</v>
      </c>
      <c r="E30" s="121">
        <f t="shared" si="8"/>
        <v>6.6811339285714283E-2</v>
      </c>
      <c r="F30" s="44">
        <f t="shared" si="0"/>
        <v>26465.995500000001</v>
      </c>
      <c r="G30" s="44">
        <f t="shared" si="9"/>
        <v>33948.8655</v>
      </c>
      <c r="H30" s="44">
        <f t="shared" si="1"/>
        <v>78051.1345</v>
      </c>
      <c r="I30" s="68">
        <f t="shared" si="10"/>
        <v>0.30311487053571429</v>
      </c>
      <c r="J30" s="70">
        <f t="shared" si="2"/>
        <v>0</v>
      </c>
      <c r="K30" s="23">
        <f t="shared" si="3"/>
        <v>1700</v>
      </c>
      <c r="L30" s="23">
        <f t="shared" si="4"/>
        <v>2075</v>
      </c>
      <c r="M30" s="23">
        <f t="shared" si="5"/>
        <v>7110</v>
      </c>
      <c r="N30" s="71">
        <f t="shared" si="6"/>
        <v>15580.995500000001</v>
      </c>
    </row>
    <row r="31" spans="1:14" ht="15.75" x14ac:dyDescent="0.25">
      <c r="A31" s="130">
        <f>brackets_gross!A40</f>
        <v>116000</v>
      </c>
      <c r="B31" s="60">
        <f>MIN(output!$B$9,A31*output!$C$9)</f>
        <v>4514.87</v>
      </c>
      <c r="C31" s="60">
        <f>A31*output!$D$9</f>
        <v>3074</v>
      </c>
      <c r="D31" s="44">
        <f t="shared" si="7"/>
        <v>108411.13</v>
      </c>
      <c r="E31" s="121">
        <f t="shared" si="8"/>
        <v>6.5421293103448269E-2</v>
      </c>
      <c r="F31" s="44">
        <f t="shared" si="0"/>
        <v>27828.895500000002</v>
      </c>
      <c r="G31" s="44">
        <f t="shared" si="9"/>
        <v>35417.765500000001</v>
      </c>
      <c r="H31" s="44">
        <f t="shared" si="1"/>
        <v>80582.234500000006</v>
      </c>
      <c r="I31" s="68">
        <f t="shared" si="10"/>
        <v>0.30532556465517241</v>
      </c>
      <c r="J31" s="70">
        <f t="shared" si="2"/>
        <v>0</v>
      </c>
      <c r="K31" s="23">
        <f t="shared" si="3"/>
        <v>1700</v>
      </c>
      <c r="L31" s="23">
        <f t="shared" si="4"/>
        <v>2075</v>
      </c>
      <c r="M31" s="23">
        <f t="shared" si="5"/>
        <v>7110</v>
      </c>
      <c r="N31" s="71">
        <f t="shared" si="6"/>
        <v>16943.895500000002</v>
      </c>
    </row>
    <row r="32" spans="1:14" ht="15.75" x14ac:dyDescent="0.25">
      <c r="A32" s="130">
        <f>brackets_gross!A41</f>
        <v>120000</v>
      </c>
      <c r="B32" s="60">
        <f>MIN(output!$B$9,A32*output!$C$9)</f>
        <v>4514.87</v>
      </c>
      <c r="C32" s="60">
        <f>A32*output!$D$9</f>
        <v>3180</v>
      </c>
      <c r="D32" s="44">
        <f t="shared" si="7"/>
        <v>112305.13</v>
      </c>
      <c r="E32" s="121">
        <f t="shared" si="8"/>
        <v>6.4123916666666669E-2</v>
      </c>
      <c r="F32" s="44">
        <f t="shared" si="0"/>
        <v>29191.7955</v>
      </c>
      <c r="G32" s="44">
        <f t="shared" si="9"/>
        <v>36886.665500000003</v>
      </c>
      <c r="H32" s="44">
        <f t="shared" si="1"/>
        <v>83113.334499999997</v>
      </c>
      <c r="I32" s="68">
        <f t="shared" si="10"/>
        <v>0.30738887916666668</v>
      </c>
      <c r="J32" s="70">
        <f t="shared" si="2"/>
        <v>0</v>
      </c>
      <c r="K32" s="23">
        <f t="shared" si="3"/>
        <v>1700</v>
      </c>
      <c r="L32" s="23">
        <f t="shared" si="4"/>
        <v>2075</v>
      </c>
      <c r="M32" s="23">
        <f t="shared" si="5"/>
        <v>7110</v>
      </c>
      <c r="N32" s="71">
        <f t="shared" si="6"/>
        <v>18306.7955</v>
      </c>
    </row>
    <row r="33" spans="1:14" ht="15.75" x14ac:dyDescent="0.25">
      <c r="A33" s="130">
        <f>brackets_gross!A42</f>
        <v>124000</v>
      </c>
      <c r="B33" s="60">
        <f>MIN(output!$B$9,A33*output!$C$9)</f>
        <v>4514.87</v>
      </c>
      <c r="C33" s="60">
        <f>A33*output!$D$9</f>
        <v>3286</v>
      </c>
      <c r="D33" s="44">
        <f t="shared" ref="D33:D37" si="11">A33-B33-C33</f>
        <v>116199.13</v>
      </c>
      <c r="E33" s="121">
        <f t="shared" ref="E33:E37" si="12">(C33+B33)/A33</f>
        <v>6.2910241935483877E-2</v>
      </c>
      <c r="F33" s="44">
        <f t="shared" si="0"/>
        <v>30554.695500000002</v>
      </c>
      <c r="G33" s="44">
        <f t="shared" si="9"/>
        <v>38355.565500000004</v>
      </c>
      <c r="H33" s="44">
        <f t="shared" si="1"/>
        <v>85644.434500000003</v>
      </c>
      <c r="I33" s="68">
        <f t="shared" si="10"/>
        <v>0.30931907661290325</v>
      </c>
      <c r="J33" s="70">
        <f t="shared" si="2"/>
        <v>0</v>
      </c>
      <c r="K33" s="23">
        <f t="shared" si="3"/>
        <v>1700</v>
      </c>
      <c r="L33" s="23">
        <f t="shared" si="4"/>
        <v>2075</v>
      </c>
      <c r="M33" s="23">
        <f t="shared" si="5"/>
        <v>7110</v>
      </c>
      <c r="N33" s="71">
        <f t="shared" si="6"/>
        <v>19669.695500000002</v>
      </c>
    </row>
    <row r="34" spans="1:14" ht="15.75" x14ac:dyDescent="0.25">
      <c r="A34" s="130">
        <f>brackets_gross!A43</f>
        <v>128000</v>
      </c>
      <c r="B34" s="60">
        <f>MIN(output!$B$9,A34*output!$C$9)</f>
        <v>4514.87</v>
      </c>
      <c r="C34" s="60">
        <f>A34*output!$D$9</f>
        <v>3392</v>
      </c>
      <c r="D34" s="44">
        <f t="shared" si="11"/>
        <v>120093.13</v>
      </c>
      <c r="E34" s="121">
        <f t="shared" si="12"/>
        <v>6.1772421874999997E-2</v>
      </c>
      <c r="F34" s="44">
        <f t="shared" si="0"/>
        <v>31917.595499999999</v>
      </c>
      <c r="G34" s="44">
        <f t="shared" si="9"/>
        <v>39824.465499999998</v>
      </c>
      <c r="H34" s="44">
        <f t="shared" si="1"/>
        <v>88175.534500000009</v>
      </c>
      <c r="I34" s="68">
        <f t="shared" si="10"/>
        <v>0.31112863671874996</v>
      </c>
      <c r="J34" s="70">
        <f t="shared" si="2"/>
        <v>0</v>
      </c>
      <c r="K34" s="23">
        <f t="shared" si="3"/>
        <v>1700</v>
      </c>
      <c r="L34" s="23">
        <f t="shared" si="4"/>
        <v>2075</v>
      </c>
      <c r="M34" s="23">
        <f t="shared" si="5"/>
        <v>7110</v>
      </c>
      <c r="N34" s="71">
        <f t="shared" si="6"/>
        <v>21032.595499999999</v>
      </c>
    </row>
    <row r="35" spans="1:14" ht="15.75" x14ac:dyDescent="0.25">
      <c r="A35" s="130">
        <f>brackets_gross!A44</f>
        <v>132000</v>
      </c>
      <c r="B35" s="60">
        <f>MIN(output!$B$9,A35*output!$C$9)</f>
        <v>4514.87</v>
      </c>
      <c r="C35" s="60">
        <f>A35*output!$D$9</f>
        <v>3498</v>
      </c>
      <c r="D35" s="44">
        <f t="shared" si="11"/>
        <v>123987.13</v>
      </c>
      <c r="E35" s="121">
        <f t="shared" si="12"/>
        <v>6.0703560606060608E-2</v>
      </c>
      <c r="F35" s="44">
        <f t="shared" si="0"/>
        <v>33280.495500000005</v>
      </c>
      <c r="G35" s="44">
        <f t="shared" si="9"/>
        <v>41293.365500000007</v>
      </c>
      <c r="H35" s="44">
        <f t="shared" si="1"/>
        <v>90706.6345</v>
      </c>
      <c r="I35" s="68">
        <f t="shared" si="10"/>
        <v>0.31282852651515158</v>
      </c>
      <c r="J35" s="70">
        <f t="shared" si="2"/>
        <v>0</v>
      </c>
      <c r="K35" s="23">
        <f t="shared" si="3"/>
        <v>1700</v>
      </c>
      <c r="L35" s="23">
        <f t="shared" si="4"/>
        <v>2075</v>
      </c>
      <c r="M35" s="23">
        <f t="shared" si="5"/>
        <v>7110</v>
      </c>
      <c r="N35" s="71">
        <f t="shared" si="6"/>
        <v>22395.495500000001</v>
      </c>
    </row>
    <row r="36" spans="1:14" ht="15.75" x14ac:dyDescent="0.25">
      <c r="A36" s="130">
        <f>brackets_gross!A45</f>
        <v>136000</v>
      </c>
      <c r="B36" s="60">
        <f>MIN(output!$B$9,A36*output!$C$9)</f>
        <v>4514.87</v>
      </c>
      <c r="C36" s="60">
        <f>A36*output!$D$9</f>
        <v>3604</v>
      </c>
      <c r="D36" s="44">
        <f t="shared" si="11"/>
        <v>127881.13</v>
      </c>
      <c r="E36" s="121">
        <f t="shared" si="12"/>
        <v>5.9697573529411761E-2</v>
      </c>
      <c r="F36" s="44">
        <f t="shared" si="0"/>
        <v>34643.395499999999</v>
      </c>
      <c r="G36" s="44">
        <f t="shared" si="9"/>
        <v>42762.265500000001</v>
      </c>
      <c r="H36" s="44">
        <f t="shared" si="1"/>
        <v>93237.734500000006</v>
      </c>
      <c r="I36" s="68">
        <f t="shared" si="10"/>
        <v>0.31442842279411765</v>
      </c>
      <c r="J36" s="70">
        <f t="shared" si="2"/>
        <v>0</v>
      </c>
      <c r="K36" s="23">
        <f t="shared" si="3"/>
        <v>1700</v>
      </c>
      <c r="L36" s="23">
        <f t="shared" si="4"/>
        <v>2075</v>
      </c>
      <c r="M36" s="23">
        <f t="shared" si="5"/>
        <v>7110</v>
      </c>
      <c r="N36" s="71">
        <f t="shared" si="6"/>
        <v>23758.395499999999</v>
      </c>
    </row>
    <row r="37" spans="1:14" ht="16.5" thickBot="1" x14ac:dyDescent="0.3">
      <c r="A37" s="131">
        <f>brackets_gross!A46</f>
        <v>140000</v>
      </c>
      <c r="B37" s="61">
        <f>MIN(output!$B$9,A37*output!$C$9)</f>
        <v>4514.87</v>
      </c>
      <c r="C37" s="61">
        <f>A37*output!$D$9</f>
        <v>3710</v>
      </c>
      <c r="D37" s="58">
        <f t="shared" si="11"/>
        <v>131775.13</v>
      </c>
      <c r="E37" s="132">
        <f t="shared" si="12"/>
        <v>5.8749071428571421E-2</v>
      </c>
      <c r="F37" s="58">
        <f t="shared" si="0"/>
        <v>36006.2955</v>
      </c>
      <c r="G37" s="58">
        <f t="shared" si="9"/>
        <v>44231.165500000003</v>
      </c>
      <c r="H37" s="58">
        <f t="shared" si="1"/>
        <v>95768.834499999997</v>
      </c>
      <c r="I37" s="69">
        <f t="shared" si="10"/>
        <v>0.31593689642857142</v>
      </c>
      <c r="J37" s="70">
        <f t="shared" si="2"/>
        <v>0</v>
      </c>
      <c r="K37" s="23">
        <f t="shared" si="3"/>
        <v>1700</v>
      </c>
      <c r="L37" s="23">
        <f t="shared" si="4"/>
        <v>2075</v>
      </c>
      <c r="M37" s="23">
        <f t="shared" si="5"/>
        <v>7110</v>
      </c>
      <c r="N37" s="71">
        <f t="shared" si="6"/>
        <v>25121.2955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5326-1590-465E-9637-7DD5723F6A92}">
  <dimension ref="A1:T37"/>
  <sheetViews>
    <sheetView workbookViewId="0">
      <selection activeCell="A17" sqref="A17:XFD17"/>
    </sheetView>
  </sheetViews>
  <sheetFormatPr defaultRowHeight="15" x14ac:dyDescent="0.25"/>
  <cols>
    <col min="1" max="1" width="16.7109375" bestFit="1" customWidth="1"/>
    <col min="2" max="2" width="14.5703125" bestFit="1" customWidth="1"/>
    <col min="3" max="3" width="19.7109375" bestFit="1" customWidth="1"/>
    <col min="4" max="4" width="19.140625" bestFit="1" customWidth="1"/>
    <col min="5" max="5" width="8.7109375" bestFit="1" customWidth="1"/>
    <col min="6" max="7" width="13.140625" bestFit="1" customWidth="1"/>
    <col min="8" max="8" width="14.5703125" bestFit="1" customWidth="1"/>
    <col min="9" max="9" width="6.140625" bestFit="1" customWidth="1"/>
    <col min="10" max="10" width="15.7109375" bestFit="1" customWidth="1"/>
    <col min="11" max="11" width="19" bestFit="1" customWidth="1"/>
    <col min="12" max="12" width="16.42578125" bestFit="1" customWidth="1"/>
    <col min="13" max="13" width="18.28515625" bestFit="1" customWidth="1"/>
    <col min="14" max="14" width="15.85546875" bestFit="1" customWidth="1"/>
    <col min="15" max="15" width="18.42578125" bestFit="1" customWidth="1"/>
    <col min="16" max="16" width="8.7109375" bestFit="1" customWidth="1"/>
    <col min="17" max="17" width="12.5703125" bestFit="1" customWidth="1"/>
    <col min="18" max="18" width="7" bestFit="1" customWidth="1"/>
    <col min="19" max="19" width="10.140625" bestFit="1" customWidth="1"/>
    <col min="20" max="21" width="12.5703125" bestFit="1" customWidth="1"/>
  </cols>
  <sheetData>
    <row r="1" spans="1:20" s="157" customFormat="1" ht="19.5" thickBot="1" x14ac:dyDescent="0.35">
      <c r="A1" s="157" t="s">
        <v>33</v>
      </c>
      <c r="B1" s="157" t="s">
        <v>29</v>
      </c>
      <c r="C1" s="157" t="s">
        <v>28</v>
      </c>
      <c r="D1" s="157" t="s">
        <v>27</v>
      </c>
      <c r="E1" s="157" t="s">
        <v>84</v>
      </c>
      <c r="F1" s="157" t="s">
        <v>59</v>
      </c>
      <c r="G1" s="157" t="s">
        <v>116</v>
      </c>
      <c r="H1" s="157" t="s">
        <v>71</v>
      </c>
      <c r="I1" s="157" t="s">
        <v>72</v>
      </c>
      <c r="J1" s="157" t="s">
        <v>62</v>
      </c>
      <c r="K1" s="157" t="s">
        <v>67</v>
      </c>
      <c r="L1" s="157" t="s">
        <v>68</v>
      </c>
      <c r="M1" s="157" t="s">
        <v>69</v>
      </c>
      <c r="N1" s="157" t="s">
        <v>70</v>
      </c>
    </row>
    <row r="2" spans="1:20" ht="15.75" x14ac:dyDescent="0.25">
      <c r="A2" s="59">
        <f>brackets_gross!A11</f>
        <v>0</v>
      </c>
      <c r="B2" s="64">
        <f>MIN(output!$B$2,A2*output!$C$2)</f>
        <v>0</v>
      </c>
      <c r="C2" s="64">
        <f>A2*output!$D$2</f>
        <v>0</v>
      </c>
      <c r="D2" s="65">
        <f>A2-B2-C2</f>
        <v>0</v>
      </c>
      <c r="E2" s="66">
        <f>IFERROR((C2+B2)/A2,0)</f>
        <v>0</v>
      </c>
      <c r="F2" s="65">
        <f t="shared" ref="F2:F37" si="0">SUM(J2:N2)</f>
        <v>0</v>
      </c>
      <c r="G2" s="65">
        <f>F2+C2+B2</f>
        <v>0</v>
      </c>
      <c r="H2" s="65">
        <f>A2-B2-C2-F2</f>
        <v>0</v>
      </c>
      <c r="I2" s="67">
        <f>IFERROR((B2+C2+F2)/A2,)</f>
        <v>0</v>
      </c>
      <c r="J2" s="70">
        <f t="shared" ref="J2:J37" si="1">MIN(MAX(0,($D2-P$5)*P$7),P$4)</f>
        <v>0</v>
      </c>
      <c r="K2" s="23">
        <f t="shared" ref="K2:K37" si="2">MIN(MAX(0,($D2-Q$5)*Q$7),Q$4)</f>
        <v>0</v>
      </c>
      <c r="L2" s="23">
        <f t="shared" ref="L2:L37" si="3">MIN(MAX(0,($D2-R$5)*R$7),R$4)</f>
        <v>0</v>
      </c>
      <c r="M2" s="23">
        <f t="shared" ref="M2:M37" si="4">MIN(MAX(0,($D2-S$5)*S$7),S$4)</f>
        <v>0</v>
      </c>
      <c r="N2" s="71">
        <f t="shared" ref="N2:N37" si="5">MIN(MAX(0,($D2-T$5)*T$7),T$4)</f>
        <v>0</v>
      </c>
    </row>
    <row r="3" spans="1:20" ht="16.5" thickBot="1" x14ac:dyDescent="0.3">
      <c r="A3" s="59">
        <f>brackets_gross!A12</f>
        <v>4000</v>
      </c>
      <c r="B3" s="60">
        <f>MIN(output!$B$2,A3*output!$C$2)</f>
        <v>332</v>
      </c>
      <c r="C3" s="60">
        <f>A3*output!$D$2</f>
        <v>106</v>
      </c>
      <c r="D3" s="44">
        <f t="shared" ref="D3:D32" si="6">A3-B3-C3</f>
        <v>3562</v>
      </c>
      <c r="E3" s="121">
        <f t="shared" ref="E3:E32" si="7">(C3+B3)/A3</f>
        <v>0.1095</v>
      </c>
      <c r="F3" s="44">
        <f t="shared" si="0"/>
        <v>0</v>
      </c>
      <c r="G3" s="44">
        <f t="shared" ref="G3:G37" si="8">F3+C3+B3</f>
        <v>438</v>
      </c>
      <c r="H3" s="44">
        <f t="shared" ref="H3:H32" si="9">A3-B3-C3-F3</f>
        <v>3562</v>
      </c>
      <c r="I3" s="121">
        <f t="shared" ref="I3:I31" si="10">(B3+C3+F3)/A3</f>
        <v>0.1095</v>
      </c>
      <c r="J3" s="23">
        <f t="shared" si="1"/>
        <v>0</v>
      </c>
      <c r="K3" s="23">
        <f t="shared" si="2"/>
        <v>0</v>
      </c>
      <c r="L3" s="23">
        <f t="shared" si="3"/>
        <v>0</v>
      </c>
      <c r="M3" s="23">
        <f t="shared" si="4"/>
        <v>0</v>
      </c>
      <c r="N3" s="23">
        <f t="shared" si="5"/>
        <v>0</v>
      </c>
    </row>
    <row r="4" spans="1:20" ht="15.75" x14ac:dyDescent="0.25">
      <c r="A4" s="59">
        <f>brackets_gross!A13</f>
        <v>8000</v>
      </c>
      <c r="B4" s="60">
        <f>MIN(output!$B$2,A4*output!$C$2)</f>
        <v>664</v>
      </c>
      <c r="C4" s="60">
        <f>A4*output!$D$2</f>
        <v>212</v>
      </c>
      <c r="D4" s="44">
        <f t="shared" si="6"/>
        <v>7124</v>
      </c>
      <c r="E4" s="121">
        <f t="shared" si="7"/>
        <v>0.1095</v>
      </c>
      <c r="F4" s="44">
        <f t="shared" si="0"/>
        <v>0</v>
      </c>
      <c r="G4" s="44">
        <f t="shared" si="8"/>
        <v>876</v>
      </c>
      <c r="H4" s="44">
        <f t="shared" si="9"/>
        <v>7124</v>
      </c>
      <c r="I4" s="121">
        <f t="shared" si="10"/>
        <v>0.1095</v>
      </c>
      <c r="J4" s="23">
        <f t="shared" si="1"/>
        <v>0</v>
      </c>
      <c r="K4" s="23">
        <f t="shared" si="2"/>
        <v>0</v>
      </c>
      <c r="L4" s="23">
        <f t="shared" si="3"/>
        <v>0</v>
      </c>
      <c r="M4" s="23">
        <f t="shared" si="4"/>
        <v>0</v>
      </c>
      <c r="N4" s="23">
        <f t="shared" si="5"/>
        <v>0</v>
      </c>
      <c r="O4" s="191" t="s">
        <v>63</v>
      </c>
      <c r="P4" s="65">
        <f>IF((P6-P5)*P7&lt;0,999999999,(P6-P5)*P7)</f>
        <v>0</v>
      </c>
      <c r="Q4" s="65">
        <f>IF((Q6-Q5)*Q7&lt;0,999999999,(Q6-Q5)*Q7)</f>
        <v>3000</v>
      </c>
      <c r="R4" s="65">
        <f>IF((R6-R5)*R7&lt;0,999999999,(R6-R5)*R7)</f>
        <v>999999999</v>
      </c>
      <c r="S4" s="65">
        <f>IF((S6-S5)*S7&lt;0,999999999,(S6-S5)*S7)</f>
        <v>0</v>
      </c>
      <c r="T4" s="49">
        <f>IF((T6-T5)*T7&lt;0,999999999,(T6-T5)*T7)</f>
        <v>0</v>
      </c>
    </row>
    <row r="5" spans="1:20" ht="15.75" x14ac:dyDescent="0.25">
      <c r="A5" s="59">
        <f>brackets_gross!A14</f>
        <v>12000</v>
      </c>
      <c r="B5" s="60">
        <f>MIN(output!$B$2,A5*output!$C$2)</f>
        <v>996</v>
      </c>
      <c r="C5" s="60">
        <f>A5*output!$D$2</f>
        <v>318</v>
      </c>
      <c r="D5" s="44">
        <f t="shared" si="6"/>
        <v>10686</v>
      </c>
      <c r="E5" s="121">
        <f t="shared" si="7"/>
        <v>0.1095</v>
      </c>
      <c r="F5" s="44">
        <f t="shared" si="0"/>
        <v>0</v>
      </c>
      <c r="G5" s="44">
        <f t="shared" si="8"/>
        <v>1314</v>
      </c>
      <c r="H5" s="44">
        <f t="shared" si="9"/>
        <v>10686</v>
      </c>
      <c r="I5" s="121">
        <f t="shared" si="10"/>
        <v>0.1095</v>
      </c>
      <c r="J5" s="23">
        <f t="shared" si="1"/>
        <v>0</v>
      </c>
      <c r="K5" s="23">
        <f t="shared" si="2"/>
        <v>0</v>
      </c>
      <c r="L5" s="23">
        <f t="shared" si="3"/>
        <v>0</v>
      </c>
      <c r="M5" s="23">
        <f t="shared" si="4"/>
        <v>0</v>
      </c>
      <c r="N5" s="23">
        <f t="shared" si="5"/>
        <v>0</v>
      </c>
      <c r="O5" s="192" t="s">
        <v>64</v>
      </c>
      <c r="P5" s="44">
        <v>0</v>
      </c>
      <c r="Q5" s="73">
        <f>P6</f>
        <v>25000</v>
      </c>
      <c r="R5" s="73">
        <f>Q6</f>
        <v>35000</v>
      </c>
      <c r="S5" s="73">
        <f>R6</f>
        <v>0</v>
      </c>
      <c r="T5" s="74">
        <f>S6</f>
        <v>0</v>
      </c>
    </row>
    <row r="6" spans="1:20" ht="15.75" x14ac:dyDescent="0.25">
      <c r="A6" s="59">
        <f>brackets_gross!A15</f>
        <v>16000</v>
      </c>
      <c r="B6" s="60">
        <f>MIN(output!$B$2,A6*output!$C$2)</f>
        <v>1328</v>
      </c>
      <c r="C6" s="60">
        <f>A6*output!$D$2</f>
        <v>424</v>
      </c>
      <c r="D6" s="44">
        <f t="shared" si="6"/>
        <v>14248</v>
      </c>
      <c r="E6" s="121">
        <f t="shared" si="7"/>
        <v>0.1095</v>
      </c>
      <c r="F6" s="44">
        <f t="shared" si="0"/>
        <v>0</v>
      </c>
      <c r="G6" s="44">
        <f t="shared" si="8"/>
        <v>1752</v>
      </c>
      <c r="H6" s="44">
        <f t="shared" si="9"/>
        <v>14248</v>
      </c>
      <c r="I6" s="121">
        <f t="shared" si="10"/>
        <v>0.1095</v>
      </c>
      <c r="J6" s="23">
        <f t="shared" si="1"/>
        <v>0</v>
      </c>
      <c r="K6" s="23">
        <f t="shared" si="2"/>
        <v>0</v>
      </c>
      <c r="L6" s="23">
        <f t="shared" si="3"/>
        <v>0</v>
      </c>
      <c r="M6" s="23">
        <f t="shared" si="4"/>
        <v>0</v>
      </c>
      <c r="N6" s="23">
        <f t="shared" si="5"/>
        <v>0</v>
      </c>
      <c r="O6" s="192" t="s">
        <v>65</v>
      </c>
      <c r="P6" s="73">
        <f>brackets_taxable!A3</f>
        <v>25000</v>
      </c>
      <c r="Q6" s="73">
        <f>brackets_taxable!A4</f>
        <v>35000</v>
      </c>
      <c r="R6" s="73">
        <f>brackets_taxable!A5</f>
        <v>0</v>
      </c>
      <c r="S6" s="73">
        <f>brackets_taxable!A6</f>
        <v>0</v>
      </c>
      <c r="T6" s="75">
        <f>brackets_gross!A7</f>
        <v>0</v>
      </c>
    </row>
    <row r="7" spans="1:20" ht="16.5" thickBot="1" x14ac:dyDescent="0.3">
      <c r="A7" s="59">
        <f>brackets_gross!A16</f>
        <v>20000</v>
      </c>
      <c r="B7" s="60">
        <f>MIN(output!$B$2,A7*output!$C$2)</f>
        <v>1660</v>
      </c>
      <c r="C7" s="60">
        <f>A7*output!$D$2</f>
        <v>530</v>
      </c>
      <c r="D7" s="44">
        <f t="shared" si="6"/>
        <v>17810</v>
      </c>
      <c r="E7" s="121">
        <f t="shared" si="7"/>
        <v>0.1095</v>
      </c>
      <c r="F7" s="44">
        <f t="shared" si="0"/>
        <v>0</v>
      </c>
      <c r="G7" s="44">
        <f t="shared" si="8"/>
        <v>2190</v>
      </c>
      <c r="H7" s="44">
        <f t="shared" si="9"/>
        <v>17810</v>
      </c>
      <c r="I7" s="121">
        <f t="shared" si="10"/>
        <v>0.1095</v>
      </c>
      <c r="J7" s="23">
        <f t="shared" si="1"/>
        <v>0</v>
      </c>
      <c r="K7" s="23">
        <f t="shared" si="2"/>
        <v>0</v>
      </c>
      <c r="L7" s="23">
        <f t="shared" si="3"/>
        <v>0</v>
      </c>
      <c r="M7" s="23">
        <f t="shared" si="4"/>
        <v>0</v>
      </c>
      <c r="N7" s="23">
        <f t="shared" si="5"/>
        <v>0</v>
      </c>
      <c r="O7" s="193" t="s">
        <v>66</v>
      </c>
      <c r="P7" s="7">
        <f>brackets_gross!B3</f>
        <v>0</v>
      </c>
      <c r="Q7" s="7">
        <f>brackets_gross!B4</f>
        <v>0.3</v>
      </c>
      <c r="R7" s="7">
        <f>brackets_gross!B5</f>
        <v>0.45</v>
      </c>
      <c r="S7" s="7">
        <f>brackets_gross!B6</f>
        <v>0</v>
      </c>
      <c r="T7" s="47">
        <f>brackets_gross!B7</f>
        <v>0</v>
      </c>
    </row>
    <row r="8" spans="1:20" ht="15.75" x14ac:dyDescent="0.25">
      <c r="A8" s="59">
        <f>brackets_gross!A17</f>
        <v>24000</v>
      </c>
      <c r="B8" s="60">
        <f>MIN(output!$B$2,A8*output!$C$2)</f>
        <v>1992</v>
      </c>
      <c r="C8" s="60">
        <f>A8*output!$D$2</f>
        <v>636</v>
      </c>
      <c r="D8" s="44">
        <f t="shared" si="6"/>
        <v>21372</v>
      </c>
      <c r="E8" s="121">
        <f t="shared" si="7"/>
        <v>0.1095</v>
      </c>
      <c r="F8" s="44">
        <f t="shared" si="0"/>
        <v>0</v>
      </c>
      <c r="G8" s="44">
        <f t="shared" si="8"/>
        <v>2628</v>
      </c>
      <c r="H8" s="44">
        <f t="shared" si="9"/>
        <v>21372</v>
      </c>
      <c r="I8" s="121">
        <f t="shared" si="10"/>
        <v>0.1095</v>
      </c>
      <c r="J8" s="23">
        <f t="shared" si="1"/>
        <v>0</v>
      </c>
      <c r="K8" s="23">
        <f t="shared" si="2"/>
        <v>0</v>
      </c>
      <c r="L8" s="23">
        <f t="shared" si="3"/>
        <v>0</v>
      </c>
      <c r="M8" s="23">
        <f t="shared" si="4"/>
        <v>0</v>
      </c>
      <c r="N8" s="23">
        <f t="shared" si="5"/>
        <v>0</v>
      </c>
    </row>
    <row r="9" spans="1:20" ht="15.75" x14ac:dyDescent="0.25">
      <c r="A9" s="59">
        <f>brackets_gross!A18</f>
        <v>28000</v>
      </c>
      <c r="B9" s="60">
        <f>MIN(output!$B$2,A9*output!$C$2)</f>
        <v>2324</v>
      </c>
      <c r="C9" s="60">
        <f>A9*output!$D$2</f>
        <v>742</v>
      </c>
      <c r="D9" s="44">
        <f t="shared" si="6"/>
        <v>24934</v>
      </c>
      <c r="E9" s="121">
        <f t="shared" si="7"/>
        <v>0.1095</v>
      </c>
      <c r="F9" s="44">
        <f t="shared" si="0"/>
        <v>0</v>
      </c>
      <c r="G9" s="44">
        <f t="shared" si="8"/>
        <v>3066</v>
      </c>
      <c r="H9" s="44">
        <f t="shared" si="9"/>
        <v>24934</v>
      </c>
      <c r="I9" s="121">
        <f t="shared" si="10"/>
        <v>0.1095</v>
      </c>
      <c r="J9" s="23">
        <f t="shared" si="1"/>
        <v>0</v>
      </c>
      <c r="K9" s="23">
        <f t="shared" si="2"/>
        <v>0</v>
      </c>
      <c r="L9" s="23">
        <f t="shared" si="3"/>
        <v>0</v>
      </c>
      <c r="M9" s="23">
        <f t="shared" si="4"/>
        <v>0</v>
      </c>
      <c r="N9" s="23">
        <f t="shared" si="5"/>
        <v>0</v>
      </c>
    </row>
    <row r="10" spans="1:20" ht="15.75" x14ac:dyDescent="0.25">
      <c r="A10" s="59">
        <f>brackets_gross!A19</f>
        <v>32000</v>
      </c>
      <c r="B10" s="60">
        <f>MIN(output!$B$2,A10*output!$C$2)</f>
        <v>2656</v>
      </c>
      <c r="C10" s="60">
        <f>A10*output!$D$2</f>
        <v>848</v>
      </c>
      <c r="D10" s="44">
        <f t="shared" si="6"/>
        <v>28496</v>
      </c>
      <c r="E10" s="121">
        <f t="shared" si="7"/>
        <v>0.1095</v>
      </c>
      <c r="F10" s="44">
        <f t="shared" si="0"/>
        <v>1048.8</v>
      </c>
      <c r="G10" s="44">
        <f t="shared" si="8"/>
        <v>4552.8</v>
      </c>
      <c r="H10" s="44">
        <f t="shared" si="9"/>
        <v>27447.200000000001</v>
      </c>
      <c r="I10" s="121">
        <f t="shared" si="10"/>
        <v>0.14227500000000001</v>
      </c>
      <c r="J10" s="23">
        <f t="shared" si="1"/>
        <v>0</v>
      </c>
      <c r="K10" s="23">
        <f t="shared" si="2"/>
        <v>1048.8</v>
      </c>
      <c r="L10" s="23">
        <f t="shared" si="3"/>
        <v>0</v>
      </c>
      <c r="M10" s="23">
        <f t="shared" si="4"/>
        <v>0</v>
      </c>
      <c r="N10" s="23">
        <f t="shared" si="5"/>
        <v>0</v>
      </c>
    </row>
    <row r="11" spans="1:20" ht="15.75" x14ac:dyDescent="0.25">
      <c r="A11" s="59">
        <f>brackets_gross!A20</f>
        <v>36000</v>
      </c>
      <c r="B11" s="60">
        <f>MIN(output!$B$2,A11*output!$C$2)</f>
        <v>2988</v>
      </c>
      <c r="C11" s="60">
        <f>A11*output!$D$2</f>
        <v>954</v>
      </c>
      <c r="D11" s="44">
        <f t="shared" si="6"/>
        <v>32058</v>
      </c>
      <c r="E11" s="121">
        <f t="shared" si="7"/>
        <v>0.1095</v>
      </c>
      <c r="F11" s="44">
        <f t="shared" si="0"/>
        <v>2117.4</v>
      </c>
      <c r="G11" s="44">
        <f t="shared" si="8"/>
        <v>6059.4</v>
      </c>
      <c r="H11" s="44">
        <f t="shared" si="9"/>
        <v>29940.6</v>
      </c>
      <c r="I11" s="121">
        <f t="shared" si="10"/>
        <v>0.16831666666666667</v>
      </c>
      <c r="J11" s="23">
        <f t="shared" si="1"/>
        <v>0</v>
      </c>
      <c r="K11" s="23">
        <f t="shared" si="2"/>
        <v>2117.4</v>
      </c>
      <c r="L11" s="23">
        <f t="shared" si="3"/>
        <v>0</v>
      </c>
      <c r="M11" s="23">
        <f t="shared" si="4"/>
        <v>0</v>
      </c>
      <c r="N11" s="23">
        <f t="shared" si="5"/>
        <v>0</v>
      </c>
    </row>
    <row r="12" spans="1:20" ht="15.75" x14ac:dyDescent="0.25">
      <c r="A12" s="59">
        <f>brackets_gross!A21</f>
        <v>40000</v>
      </c>
      <c r="B12" s="60">
        <f>MIN(output!$B$2,A12*output!$C$2)</f>
        <v>3320</v>
      </c>
      <c r="C12" s="60">
        <f>A12*output!$D$2</f>
        <v>1060</v>
      </c>
      <c r="D12" s="44">
        <f t="shared" si="6"/>
        <v>35620</v>
      </c>
      <c r="E12" s="121">
        <f t="shared" si="7"/>
        <v>0.1095</v>
      </c>
      <c r="F12" s="44">
        <f t="shared" si="0"/>
        <v>3279</v>
      </c>
      <c r="G12" s="44">
        <f t="shared" si="8"/>
        <v>7659</v>
      </c>
      <c r="H12" s="44">
        <f t="shared" si="9"/>
        <v>32341</v>
      </c>
      <c r="I12" s="121">
        <f t="shared" si="10"/>
        <v>0.19147500000000001</v>
      </c>
      <c r="J12" s="23">
        <f t="shared" si="1"/>
        <v>0</v>
      </c>
      <c r="K12" s="23">
        <f t="shared" si="2"/>
        <v>3000</v>
      </c>
      <c r="L12" s="23">
        <f t="shared" si="3"/>
        <v>279</v>
      </c>
      <c r="M12" s="23">
        <f t="shared" si="4"/>
        <v>0</v>
      </c>
      <c r="N12" s="23">
        <f t="shared" si="5"/>
        <v>0</v>
      </c>
    </row>
    <row r="13" spans="1:20" ht="15.75" x14ac:dyDescent="0.25">
      <c r="A13" s="59">
        <f>brackets_gross!A22</f>
        <v>44000</v>
      </c>
      <c r="B13" s="60">
        <f>MIN(output!$B$2,A13*output!$C$2)</f>
        <v>3652</v>
      </c>
      <c r="C13" s="60">
        <f>A13*output!$D$2</f>
        <v>1166</v>
      </c>
      <c r="D13" s="44">
        <f t="shared" si="6"/>
        <v>39182</v>
      </c>
      <c r="E13" s="121">
        <f t="shared" si="7"/>
        <v>0.1095</v>
      </c>
      <c r="F13" s="44">
        <f t="shared" si="0"/>
        <v>4881.8999999999996</v>
      </c>
      <c r="G13" s="44">
        <f t="shared" si="8"/>
        <v>9699.9</v>
      </c>
      <c r="H13" s="44">
        <f t="shared" si="9"/>
        <v>34300.1</v>
      </c>
      <c r="I13" s="121">
        <f t="shared" si="10"/>
        <v>0.22045227272727272</v>
      </c>
      <c r="J13" s="23">
        <f t="shared" si="1"/>
        <v>0</v>
      </c>
      <c r="K13" s="23">
        <f t="shared" si="2"/>
        <v>3000</v>
      </c>
      <c r="L13" s="23">
        <f t="shared" si="3"/>
        <v>1881.9</v>
      </c>
      <c r="M13" s="23">
        <f t="shared" si="4"/>
        <v>0</v>
      </c>
      <c r="N13" s="23">
        <f t="shared" si="5"/>
        <v>0</v>
      </c>
      <c r="Q13" t="str">
        <f>output!B1</f>
        <v>SS cap</v>
      </c>
      <c r="R13" t="str">
        <f>output!C1</f>
        <v>SS rate</v>
      </c>
      <c r="S13" t="str">
        <f>output!D1</f>
        <v>Healh rate</v>
      </c>
    </row>
    <row r="14" spans="1:20" ht="15.75" x14ac:dyDescent="0.25">
      <c r="A14" s="59">
        <f>brackets_gross!A23</f>
        <v>48000</v>
      </c>
      <c r="B14" s="60">
        <f>MIN(output!$B$2,A14*output!$C$2)</f>
        <v>3984</v>
      </c>
      <c r="C14" s="60">
        <f>A14*output!$D$2</f>
        <v>1272</v>
      </c>
      <c r="D14" s="44">
        <f t="shared" si="6"/>
        <v>42744</v>
      </c>
      <c r="E14" s="121">
        <f t="shared" si="7"/>
        <v>0.1095</v>
      </c>
      <c r="F14" s="44">
        <f t="shared" si="0"/>
        <v>6484.8</v>
      </c>
      <c r="G14" s="44">
        <f t="shared" si="8"/>
        <v>11740.8</v>
      </c>
      <c r="H14" s="44">
        <f t="shared" si="9"/>
        <v>36259.199999999997</v>
      </c>
      <c r="I14" s="121">
        <f t="shared" si="10"/>
        <v>0.24459999999999998</v>
      </c>
      <c r="J14" s="23">
        <f t="shared" si="1"/>
        <v>0</v>
      </c>
      <c r="K14" s="23">
        <f t="shared" si="2"/>
        <v>3000</v>
      </c>
      <c r="L14" s="23">
        <f t="shared" si="3"/>
        <v>3484.8</v>
      </c>
      <c r="M14" s="23">
        <f t="shared" si="4"/>
        <v>0</v>
      </c>
      <c r="N14" s="23">
        <f t="shared" si="5"/>
        <v>0</v>
      </c>
      <c r="Q14" s="119">
        <f>output!B2</f>
        <v>4514.87</v>
      </c>
      <c r="R14" s="149">
        <f>output!C2</f>
        <v>8.3000000000000004E-2</v>
      </c>
      <c r="S14" s="149">
        <f>output!D2</f>
        <v>2.6499999999999999E-2</v>
      </c>
    </row>
    <row r="15" spans="1:20" ht="15.75" x14ac:dyDescent="0.25">
      <c r="A15" s="59">
        <f>brackets_gross!A24</f>
        <v>52000</v>
      </c>
      <c r="B15" s="60">
        <f>MIN(output!$B$2,A15*output!$C$2)</f>
        <v>4316</v>
      </c>
      <c r="C15" s="60">
        <f>A15*output!$D$2</f>
        <v>1378</v>
      </c>
      <c r="D15" s="44">
        <f t="shared" si="6"/>
        <v>46306</v>
      </c>
      <c r="E15" s="121">
        <f t="shared" si="7"/>
        <v>0.1095</v>
      </c>
      <c r="F15" s="44">
        <f t="shared" si="0"/>
        <v>8087.7</v>
      </c>
      <c r="G15" s="44">
        <f t="shared" si="8"/>
        <v>13781.7</v>
      </c>
      <c r="H15" s="44">
        <f t="shared" si="9"/>
        <v>38218.300000000003</v>
      </c>
      <c r="I15" s="121">
        <f t="shared" si="10"/>
        <v>0.26503269230769233</v>
      </c>
      <c r="J15" s="23">
        <f t="shared" si="1"/>
        <v>0</v>
      </c>
      <c r="K15" s="23">
        <f t="shared" si="2"/>
        <v>3000</v>
      </c>
      <c r="L15" s="23">
        <f t="shared" si="3"/>
        <v>5087.7</v>
      </c>
      <c r="M15" s="23">
        <f t="shared" si="4"/>
        <v>0</v>
      </c>
      <c r="N15" s="23">
        <f t="shared" si="5"/>
        <v>0</v>
      </c>
    </row>
    <row r="16" spans="1:20" ht="15.75" x14ac:dyDescent="0.25">
      <c r="A16" s="59">
        <f>brackets_gross!A25</f>
        <v>56000</v>
      </c>
      <c r="B16" s="60">
        <f>MIN(output!$B$2,A16*output!$C$2)</f>
        <v>4514.87</v>
      </c>
      <c r="C16" s="60">
        <f>A16*output!$D$2</f>
        <v>1484</v>
      </c>
      <c r="D16" s="44">
        <f t="shared" si="6"/>
        <v>50001.13</v>
      </c>
      <c r="E16" s="121">
        <f t="shared" si="7"/>
        <v>0.10712267857142857</v>
      </c>
      <c r="F16" s="44">
        <f t="shared" si="0"/>
        <v>9750.5084999999999</v>
      </c>
      <c r="G16" s="44">
        <f t="shared" si="8"/>
        <v>15749.378499999999</v>
      </c>
      <c r="H16" s="44">
        <f t="shared" si="9"/>
        <v>40250.621499999994</v>
      </c>
      <c r="I16" s="121">
        <f t="shared" si="10"/>
        <v>0.28123890178571426</v>
      </c>
      <c r="J16" s="23">
        <f t="shared" si="1"/>
        <v>0</v>
      </c>
      <c r="K16" s="23">
        <f t="shared" si="2"/>
        <v>3000</v>
      </c>
      <c r="L16" s="23">
        <f t="shared" si="3"/>
        <v>6750.508499999999</v>
      </c>
      <c r="M16" s="23">
        <f t="shared" si="4"/>
        <v>0</v>
      </c>
      <c r="N16" s="23">
        <f t="shared" si="5"/>
        <v>0</v>
      </c>
    </row>
    <row r="17" spans="1:14" ht="15.75" x14ac:dyDescent="0.25">
      <c r="A17" s="59">
        <f>brackets_gross!A26</f>
        <v>60000</v>
      </c>
      <c r="B17" s="60">
        <f>MIN(output!$B$2,A17*output!$C$2)</f>
        <v>4514.87</v>
      </c>
      <c r="C17" s="60">
        <f>A17*output!$D$2</f>
        <v>1590</v>
      </c>
      <c r="D17" s="44">
        <f t="shared" si="6"/>
        <v>53895.13</v>
      </c>
      <c r="E17" s="121">
        <f t="shared" si="7"/>
        <v>0.10174783333333333</v>
      </c>
      <c r="F17" s="44">
        <f t="shared" si="0"/>
        <v>11502.808499999999</v>
      </c>
      <c r="G17" s="44">
        <f t="shared" si="8"/>
        <v>17607.678499999998</v>
      </c>
      <c r="H17" s="44">
        <f t="shared" si="9"/>
        <v>42392.321499999998</v>
      </c>
      <c r="I17" s="121">
        <f t="shared" si="10"/>
        <v>0.29346130833333328</v>
      </c>
      <c r="J17" s="23">
        <f t="shared" si="1"/>
        <v>0</v>
      </c>
      <c r="K17" s="23">
        <f t="shared" si="2"/>
        <v>3000</v>
      </c>
      <c r="L17" s="23">
        <f t="shared" si="3"/>
        <v>8502.8084999999992</v>
      </c>
      <c r="M17" s="23">
        <f t="shared" si="4"/>
        <v>0</v>
      </c>
      <c r="N17" s="23">
        <f t="shared" si="5"/>
        <v>0</v>
      </c>
    </row>
    <row r="18" spans="1:14" ht="15.75" x14ac:dyDescent="0.25">
      <c r="A18" s="59">
        <f>brackets_gross!A27</f>
        <v>64000</v>
      </c>
      <c r="B18" s="60">
        <f>MIN(output!$B$2,A18*output!$C$2)</f>
        <v>4514.87</v>
      </c>
      <c r="C18" s="60">
        <f>A18*output!$D$2</f>
        <v>1696</v>
      </c>
      <c r="D18" s="44">
        <f t="shared" si="6"/>
        <v>57789.13</v>
      </c>
      <c r="E18" s="121">
        <f t="shared" si="7"/>
        <v>9.7044843749999998E-2</v>
      </c>
      <c r="F18" s="44">
        <f t="shared" si="0"/>
        <v>13255.108499999998</v>
      </c>
      <c r="G18" s="44">
        <f t="shared" si="8"/>
        <v>19465.978499999997</v>
      </c>
      <c r="H18" s="44">
        <f t="shared" si="9"/>
        <v>44534.021500000003</v>
      </c>
      <c r="I18" s="121">
        <f t="shared" si="10"/>
        <v>0.30415591406249998</v>
      </c>
      <c r="J18" s="23">
        <f t="shared" si="1"/>
        <v>0</v>
      </c>
      <c r="K18" s="23">
        <f t="shared" si="2"/>
        <v>3000</v>
      </c>
      <c r="L18" s="23">
        <f t="shared" si="3"/>
        <v>10255.108499999998</v>
      </c>
      <c r="M18" s="23">
        <f t="shared" si="4"/>
        <v>0</v>
      </c>
      <c r="N18" s="23">
        <f t="shared" si="5"/>
        <v>0</v>
      </c>
    </row>
    <row r="19" spans="1:14" ht="15.75" x14ac:dyDescent="0.25">
      <c r="A19" s="59">
        <f>brackets_gross!A28</f>
        <v>68000</v>
      </c>
      <c r="B19" s="60">
        <f>MIN(output!$B$2,A19*output!$C$2)</f>
        <v>4514.87</v>
      </c>
      <c r="C19" s="60">
        <f>A19*output!$D$2</f>
        <v>1802</v>
      </c>
      <c r="D19" s="44">
        <f t="shared" si="6"/>
        <v>61683.13</v>
      </c>
      <c r="E19" s="121">
        <f t="shared" si="7"/>
        <v>9.2895147058823527E-2</v>
      </c>
      <c r="F19" s="44">
        <f t="shared" si="0"/>
        <v>15007.4085</v>
      </c>
      <c r="G19" s="44">
        <f t="shared" si="8"/>
        <v>21324.278499999997</v>
      </c>
      <c r="H19" s="44">
        <f t="shared" si="9"/>
        <v>46675.7215</v>
      </c>
      <c r="I19" s="121">
        <f t="shared" si="10"/>
        <v>0.31359233088235294</v>
      </c>
      <c r="J19" s="23">
        <f t="shared" si="1"/>
        <v>0</v>
      </c>
      <c r="K19" s="23">
        <f t="shared" si="2"/>
        <v>3000</v>
      </c>
      <c r="L19" s="23">
        <f t="shared" si="3"/>
        <v>12007.4085</v>
      </c>
      <c r="M19" s="23">
        <f t="shared" si="4"/>
        <v>0</v>
      </c>
      <c r="N19" s="23">
        <f t="shared" si="5"/>
        <v>0</v>
      </c>
    </row>
    <row r="20" spans="1:14" ht="15.75" x14ac:dyDescent="0.25">
      <c r="A20" s="59">
        <f>brackets_gross!A29</f>
        <v>72000</v>
      </c>
      <c r="B20" s="60">
        <f>MIN(output!$B$2,A20*output!$C$2)</f>
        <v>4514.87</v>
      </c>
      <c r="C20" s="60">
        <f>A20*output!$D$2</f>
        <v>1908</v>
      </c>
      <c r="D20" s="44">
        <f t="shared" si="6"/>
        <v>65577.13</v>
      </c>
      <c r="E20" s="121">
        <f t="shared" si="7"/>
        <v>8.920652777777778E-2</v>
      </c>
      <c r="F20" s="44">
        <f t="shared" si="0"/>
        <v>16759.708500000001</v>
      </c>
      <c r="G20" s="44">
        <f t="shared" si="8"/>
        <v>23182.5785</v>
      </c>
      <c r="H20" s="44">
        <f t="shared" si="9"/>
        <v>48817.421500000004</v>
      </c>
      <c r="I20" s="121">
        <f t="shared" si="10"/>
        <v>0.32198025694444443</v>
      </c>
      <c r="J20" s="23">
        <f t="shared" si="1"/>
        <v>0</v>
      </c>
      <c r="K20" s="23">
        <f t="shared" si="2"/>
        <v>3000</v>
      </c>
      <c r="L20" s="23">
        <f t="shared" si="3"/>
        <v>13759.708500000002</v>
      </c>
      <c r="M20" s="23">
        <f t="shared" si="4"/>
        <v>0</v>
      </c>
      <c r="N20" s="23">
        <f t="shared" si="5"/>
        <v>0</v>
      </c>
    </row>
    <row r="21" spans="1:14" ht="15.75" x14ac:dyDescent="0.25">
      <c r="A21" s="59">
        <f>brackets_gross!A30</f>
        <v>76000</v>
      </c>
      <c r="B21" s="60">
        <f>MIN(output!$B$2,A21*output!$C$2)</f>
        <v>4514.87</v>
      </c>
      <c r="C21" s="60">
        <f>A21*output!$D$2</f>
        <v>2014</v>
      </c>
      <c r="D21" s="44">
        <f t="shared" si="6"/>
        <v>69471.13</v>
      </c>
      <c r="E21" s="121">
        <f t="shared" si="7"/>
        <v>8.5906184210526315E-2</v>
      </c>
      <c r="F21" s="44">
        <f t="shared" si="0"/>
        <v>18512.008500000004</v>
      </c>
      <c r="G21" s="44">
        <f t="shared" si="8"/>
        <v>25040.878500000003</v>
      </c>
      <c r="H21" s="44">
        <f t="shared" si="9"/>
        <v>50959.121500000001</v>
      </c>
      <c r="I21" s="121">
        <f t="shared" si="10"/>
        <v>0.32948524342105268</v>
      </c>
      <c r="J21" s="23">
        <f t="shared" si="1"/>
        <v>0</v>
      </c>
      <c r="K21" s="23">
        <f t="shared" si="2"/>
        <v>3000</v>
      </c>
      <c r="L21" s="23">
        <f t="shared" si="3"/>
        <v>15512.008500000002</v>
      </c>
      <c r="M21" s="23">
        <f t="shared" si="4"/>
        <v>0</v>
      </c>
      <c r="N21" s="23">
        <f t="shared" si="5"/>
        <v>0</v>
      </c>
    </row>
    <row r="22" spans="1:14" ht="15.75" x14ac:dyDescent="0.25">
      <c r="A22" s="59">
        <f>brackets_gross!A31</f>
        <v>80000</v>
      </c>
      <c r="B22" s="60">
        <f>MIN(output!$B$2,A22*output!$C$2)</f>
        <v>4514.87</v>
      </c>
      <c r="C22" s="60">
        <f>A22*output!$D$2</f>
        <v>2120</v>
      </c>
      <c r="D22" s="44">
        <f t="shared" si="6"/>
        <v>73365.13</v>
      </c>
      <c r="E22" s="121">
        <f t="shared" si="7"/>
        <v>8.2935874999999992E-2</v>
      </c>
      <c r="F22" s="44">
        <f t="shared" si="0"/>
        <v>20264.308500000003</v>
      </c>
      <c r="G22" s="44">
        <f t="shared" si="8"/>
        <v>26899.178500000002</v>
      </c>
      <c r="H22" s="44">
        <f t="shared" si="9"/>
        <v>53100.821500000005</v>
      </c>
      <c r="I22" s="121">
        <f t="shared" si="10"/>
        <v>0.33623973125000001</v>
      </c>
      <c r="J22" s="23">
        <f t="shared" si="1"/>
        <v>0</v>
      </c>
      <c r="K22" s="23">
        <f t="shared" si="2"/>
        <v>3000</v>
      </c>
      <c r="L22" s="23">
        <f t="shared" si="3"/>
        <v>17264.308500000003</v>
      </c>
      <c r="M22" s="23">
        <f t="shared" si="4"/>
        <v>0</v>
      </c>
      <c r="N22" s="23">
        <f t="shared" si="5"/>
        <v>0</v>
      </c>
    </row>
    <row r="23" spans="1:14" ht="15.75" x14ac:dyDescent="0.25">
      <c r="A23" s="59">
        <f>brackets_gross!A32</f>
        <v>84000</v>
      </c>
      <c r="B23" s="60">
        <f>MIN(output!$B$2,A23*output!$C$2)</f>
        <v>4514.87</v>
      </c>
      <c r="C23" s="60">
        <f>A23*output!$D$2</f>
        <v>2226</v>
      </c>
      <c r="D23" s="44">
        <f t="shared" si="6"/>
        <v>77259.13</v>
      </c>
      <c r="E23" s="121">
        <f t="shared" si="7"/>
        <v>8.0248452380952379E-2</v>
      </c>
      <c r="F23" s="44">
        <f t="shared" si="0"/>
        <v>22016.608500000002</v>
      </c>
      <c r="G23" s="44">
        <f t="shared" si="8"/>
        <v>28757.478500000001</v>
      </c>
      <c r="H23" s="44">
        <f t="shared" si="9"/>
        <v>55242.521500000003</v>
      </c>
      <c r="I23" s="121">
        <f t="shared" si="10"/>
        <v>0.34235093452380955</v>
      </c>
      <c r="J23" s="23">
        <f t="shared" si="1"/>
        <v>0</v>
      </c>
      <c r="K23" s="23">
        <f t="shared" si="2"/>
        <v>3000</v>
      </c>
      <c r="L23" s="23">
        <f t="shared" si="3"/>
        <v>19016.608500000002</v>
      </c>
      <c r="M23" s="23">
        <f t="shared" si="4"/>
        <v>0</v>
      </c>
      <c r="N23" s="23">
        <f t="shared" si="5"/>
        <v>0</v>
      </c>
    </row>
    <row r="24" spans="1:14" ht="15.75" x14ac:dyDescent="0.25">
      <c r="A24" s="59">
        <f>brackets_gross!A33</f>
        <v>88000</v>
      </c>
      <c r="B24" s="60">
        <f>MIN(output!$B$2,A24*output!$C$2)</f>
        <v>4514.87</v>
      </c>
      <c r="C24" s="60">
        <f>A24*output!$D$2</f>
        <v>2332</v>
      </c>
      <c r="D24" s="44">
        <f t="shared" si="6"/>
        <v>81153.13</v>
      </c>
      <c r="E24" s="121">
        <f t="shared" si="7"/>
        <v>7.7805340909090914E-2</v>
      </c>
      <c r="F24" s="44">
        <f t="shared" si="0"/>
        <v>23768.908500000001</v>
      </c>
      <c r="G24" s="44">
        <f t="shared" si="8"/>
        <v>30615.7785</v>
      </c>
      <c r="H24" s="44">
        <f t="shared" si="9"/>
        <v>57384.2215</v>
      </c>
      <c r="I24" s="121">
        <f t="shared" si="10"/>
        <v>0.34790657386363638</v>
      </c>
      <c r="J24" s="23">
        <f t="shared" si="1"/>
        <v>0</v>
      </c>
      <c r="K24" s="23">
        <f t="shared" si="2"/>
        <v>3000</v>
      </c>
      <c r="L24" s="23">
        <f t="shared" si="3"/>
        <v>20768.908500000001</v>
      </c>
      <c r="M24" s="23">
        <f t="shared" si="4"/>
        <v>0</v>
      </c>
      <c r="N24" s="23">
        <f t="shared" si="5"/>
        <v>0</v>
      </c>
    </row>
    <row r="25" spans="1:14" ht="15.75" x14ac:dyDescent="0.25">
      <c r="A25" s="59">
        <f>brackets_gross!A34</f>
        <v>92000</v>
      </c>
      <c r="B25" s="60">
        <f>MIN(output!$B$2,A25*output!$C$2)</f>
        <v>4514.87</v>
      </c>
      <c r="C25" s="60">
        <f>A25*output!$D$2</f>
        <v>2438</v>
      </c>
      <c r="D25" s="44">
        <f t="shared" si="6"/>
        <v>85047.13</v>
      </c>
      <c r="E25" s="121">
        <f t="shared" si="7"/>
        <v>7.5574673913043483E-2</v>
      </c>
      <c r="F25" s="44">
        <f t="shared" si="0"/>
        <v>25521.208500000004</v>
      </c>
      <c r="G25" s="44">
        <f t="shared" si="8"/>
        <v>32474.078500000003</v>
      </c>
      <c r="H25" s="44">
        <f t="shared" si="9"/>
        <v>59525.921499999997</v>
      </c>
      <c r="I25" s="121">
        <f t="shared" si="10"/>
        <v>0.35297911413043481</v>
      </c>
      <c r="J25" s="23">
        <f t="shared" si="1"/>
        <v>0</v>
      </c>
      <c r="K25" s="23">
        <f t="shared" si="2"/>
        <v>3000</v>
      </c>
      <c r="L25" s="23">
        <f t="shared" si="3"/>
        <v>22521.208500000004</v>
      </c>
      <c r="M25" s="23">
        <f t="shared" si="4"/>
        <v>0</v>
      </c>
      <c r="N25" s="23">
        <f t="shared" si="5"/>
        <v>0</v>
      </c>
    </row>
    <row r="26" spans="1:14" ht="15.75" x14ac:dyDescent="0.25">
      <c r="A26" s="59">
        <f>brackets_gross!A35</f>
        <v>96000</v>
      </c>
      <c r="B26" s="60">
        <f>MIN(output!$B$2,A26*output!$C$2)</f>
        <v>4514.87</v>
      </c>
      <c r="C26" s="60">
        <f>A26*output!$D$2</f>
        <v>2544</v>
      </c>
      <c r="D26" s="44">
        <f t="shared" si="6"/>
        <v>88941.13</v>
      </c>
      <c r="E26" s="121">
        <f t="shared" si="7"/>
        <v>7.3529895833333331E-2</v>
      </c>
      <c r="F26" s="44">
        <f t="shared" si="0"/>
        <v>27273.508500000004</v>
      </c>
      <c r="G26" s="44">
        <f t="shared" si="8"/>
        <v>34332.378500000006</v>
      </c>
      <c r="H26" s="44">
        <f t="shared" si="9"/>
        <v>61667.621500000001</v>
      </c>
      <c r="I26" s="121">
        <f t="shared" si="10"/>
        <v>0.3576289427083334</v>
      </c>
      <c r="J26" s="23">
        <f t="shared" si="1"/>
        <v>0</v>
      </c>
      <c r="K26" s="23">
        <f t="shared" si="2"/>
        <v>3000</v>
      </c>
      <c r="L26" s="23">
        <f t="shared" si="3"/>
        <v>24273.508500000004</v>
      </c>
      <c r="M26" s="23">
        <f t="shared" si="4"/>
        <v>0</v>
      </c>
      <c r="N26" s="23">
        <f t="shared" si="5"/>
        <v>0</v>
      </c>
    </row>
    <row r="27" spans="1:14" ht="15.75" x14ac:dyDescent="0.25">
      <c r="A27" s="59">
        <f>brackets_gross!A36</f>
        <v>100000</v>
      </c>
      <c r="B27" s="60">
        <f>MIN(output!$B$2,A27*output!$C$2)</f>
        <v>4514.87</v>
      </c>
      <c r="C27" s="60">
        <f>A27*output!$D$2</f>
        <v>2650</v>
      </c>
      <c r="D27" s="44">
        <f t="shared" si="6"/>
        <v>92835.13</v>
      </c>
      <c r="E27" s="121">
        <f t="shared" si="7"/>
        <v>7.1648699999999996E-2</v>
      </c>
      <c r="F27" s="44">
        <f t="shared" si="0"/>
        <v>29025.808500000003</v>
      </c>
      <c r="G27" s="44">
        <f t="shared" si="8"/>
        <v>36190.678500000002</v>
      </c>
      <c r="H27" s="44">
        <f t="shared" si="9"/>
        <v>63809.321500000005</v>
      </c>
      <c r="I27" s="121">
        <f t="shared" si="10"/>
        <v>0.36190678500000001</v>
      </c>
      <c r="J27" s="23">
        <f t="shared" si="1"/>
        <v>0</v>
      </c>
      <c r="K27" s="23">
        <f t="shared" si="2"/>
        <v>3000</v>
      </c>
      <c r="L27" s="23">
        <f t="shared" si="3"/>
        <v>26025.808500000003</v>
      </c>
      <c r="M27" s="23">
        <f t="shared" si="4"/>
        <v>0</v>
      </c>
      <c r="N27" s="23">
        <f t="shared" si="5"/>
        <v>0</v>
      </c>
    </row>
    <row r="28" spans="1:14" ht="15.75" x14ac:dyDescent="0.25">
      <c r="A28" s="59">
        <f>brackets_gross!A37</f>
        <v>104000</v>
      </c>
      <c r="B28" s="60">
        <f>MIN(output!$B$2,A28*output!$C$2)</f>
        <v>4514.87</v>
      </c>
      <c r="C28" s="60">
        <f>A28*output!$D$2</f>
        <v>2756</v>
      </c>
      <c r="D28" s="44">
        <f t="shared" si="6"/>
        <v>96729.13</v>
      </c>
      <c r="E28" s="121">
        <f t="shared" si="7"/>
        <v>6.9912211538461541E-2</v>
      </c>
      <c r="F28" s="44">
        <f t="shared" si="0"/>
        <v>30778.108500000002</v>
      </c>
      <c r="G28" s="44">
        <f t="shared" si="8"/>
        <v>38048.978500000005</v>
      </c>
      <c r="H28" s="44">
        <f t="shared" si="9"/>
        <v>65951.021500000003</v>
      </c>
      <c r="I28" s="121">
        <f t="shared" si="10"/>
        <v>0.36585556250000006</v>
      </c>
      <c r="J28" s="23">
        <f t="shared" si="1"/>
        <v>0</v>
      </c>
      <c r="K28" s="23">
        <f t="shared" si="2"/>
        <v>3000</v>
      </c>
      <c r="L28" s="23">
        <f t="shared" si="3"/>
        <v>27778.108500000002</v>
      </c>
      <c r="M28" s="23">
        <f t="shared" si="4"/>
        <v>0</v>
      </c>
      <c r="N28" s="23">
        <f t="shared" si="5"/>
        <v>0</v>
      </c>
    </row>
    <row r="29" spans="1:14" ht="15.75" x14ac:dyDescent="0.25">
      <c r="A29" s="59">
        <f>brackets_gross!A38</f>
        <v>108000</v>
      </c>
      <c r="B29" s="60">
        <f>MIN(output!$B$2,A29*output!$C$2)</f>
        <v>4514.87</v>
      </c>
      <c r="C29" s="60">
        <f>A29*output!$D$2</f>
        <v>2862</v>
      </c>
      <c r="D29" s="44">
        <f t="shared" si="6"/>
        <v>100623.13</v>
      </c>
      <c r="E29" s="121">
        <f t="shared" si="7"/>
        <v>6.8304351851851852E-2</v>
      </c>
      <c r="F29" s="44">
        <f t="shared" si="0"/>
        <v>32530.408500000001</v>
      </c>
      <c r="G29" s="44">
        <f t="shared" si="8"/>
        <v>39907.278500000008</v>
      </c>
      <c r="H29" s="44">
        <f t="shared" si="9"/>
        <v>68092.7215</v>
      </c>
      <c r="I29" s="121">
        <f t="shared" si="10"/>
        <v>0.36951183796296294</v>
      </c>
      <c r="J29" s="23">
        <f t="shared" si="1"/>
        <v>0</v>
      </c>
      <c r="K29" s="23">
        <f t="shared" si="2"/>
        <v>3000</v>
      </c>
      <c r="L29" s="23">
        <f t="shared" si="3"/>
        <v>29530.408500000001</v>
      </c>
      <c r="M29" s="23">
        <f t="shared" si="4"/>
        <v>0</v>
      </c>
      <c r="N29" s="23">
        <f t="shared" si="5"/>
        <v>0</v>
      </c>
    </row>
    <row r="30" spans="1:14" ht="15.75" x14ac:dyDescent="0.25">
      <c r="A30" s="59">
        <f>brackets_gross!A39</f>
        <v>112000</v>
      </c>
      <c r="B30" s="60">
        <f>MIN(output!$B$2,A30*output!$C$2)</f>
        <v>4514.87</v>
      </c>
      <c r="C30" s="60">
        <f>A30*output!$D$2</f>
        <v>2968</v>
      </c>
      <c r="D30" s="44">
        <f t="shared" si="6"/>
        <v>104517.13</v>
      </c>
      <c r="E30" s="121">
        <f t="shared" si="7"/>
        <v>6.6811339285714283E-2</v>
      </c>
      <c r="F30" s="44">
        <f t="shared" si="0"/>
        <v>34282.708500000008</v>
      </c>
      <c r="G30" s="44">
        <f t="shared" si="8"/>
        <v>41765.578500000011</v>
      </c>
      <c r="H30" s="44">
        <f t="shared" si="9"/>
        <v>70234.421499999997</v>
      </c>
      <c r="I30" s="121">
        <f t="shared" si="10"/>
        <v>0.37290695089285725</v>
      </c>
      <c r="J30" s="23">
        <f t="shared" si="1"/>
        <v>0</v>
      </c>
      <c r="K30" s="23">
        <f t="shared" si="2"/>
        <v>3000</v>
      </c>
      <c r="L30" s="23">
        <f t="shared" si="3"/>
        <v>31282.708500000004</v>
      </c>
      <c r="M30" s="23">
        <f t="shared" si="4"/>
        <v>0</v>
      </c>
      <c r="N30" s="23">
        <f t="shared" si="5"/>
        <v>0</v>
      </c>
    </row>
    <row r="31" spans="1:14" ht="15.75" x14ac:dyDescent="0.25">
      <c r="A31" s="59">
        <f>brackets_gross!A40</f>
        <v>116000</v>
      </c>
      <c r="B31" s="60">
        <f>MIN(output!$B$2,A31*output!$C$2)</f>
        <v>4514.87</v>
      </c>
      <c r="C31" s="60">
        <f>A31*output!$D$2</f>
        <v>3074</v>
      </c>
      <c r="D31" s="44">
        <f t="shared" si="6"/>
        <v>108411.13</v>
      </c>
      <c r="E31" s="121">
        <f t="shared" si="7"/>
        <v>6.5421293103448269E-2</v>
      </c>
      <c r="F31" s="44">
        <f t="shared" si="0"/>
        <v>36035.008500000004</v>
      </c>
      <c r="G31" s="44">
        <f t="shared" si="8"/>
        <v>43623.878500000006</v>
      </c>
      <c r="H31" s="44">
        <f t="shared" si="9"/>
        <v>72376.121500000008</v>
      </c>
      <c r="I31" s="121">
        <f t="shared" si="10"/>
        <v>0.37606791810344831</v>
      </c>
      <c r="J31" s="23">
        <f t="shared" si="1"/>
        <v>0</v>
      </c>
      <c r="K31" s="23">
        <f t="shared" si="2"/>
        <v>3000</v>
      </c>
      <c r="L31" s="23">
        <f t="shared" si="3"/>
        <v>33035.008500000004</v>
      </c>
      <c r="M31" s="23">
        <f t="shared" si="4"/>
        <v>0</v>
      </c>
      <c r="N31" s="23">
        <f t="shared" si="5"/>
        <v>0</v>
      </c>
    </row>
    <row r="32" spans="1:14" ht="16.5" thickBot="1" x14ac:dyDescent="0.3">
      <c r="A32" s="76">
        <f>brackets_gross!A41</f>
        <v>120000</v>
      </c>
      <c r="B32" s="60">
        <f>MIN(output!$B$2,A32*output!$C$2)</f>
        <v>4514.87</v>
      </c>
      <c r="C32" s="60">
        <f>A32*output!$D$2</f>
        <v>3180</v>
      </c>
      <c r="D32" s="44">
        <f t="shared" si="6"/>
        <v>112305.13</v>
      </c>
      <c r="E32" s="121">
        <f t="shared" si="7"/>
        <v>6.4123916666666669E-2</v>
      </c>
      <c r="F32" s="44">
        <f t="shared" si="0"/>
        <v>37787.308500000006</v>
      </c>
      <c r="G32" s="44">
        <f t="shared" si="8"/>
        <v>45482.178500000009</v>
      </c>
      <c r="H32" s="44">
        <f t="shared" si="9"/>
        <v>74517.821499999991</v>
      </c>
      <c r="I32" s="121">
        <f>(B32+C32+F32)/A32</f>
        <v>0.37901815416666673</v>
      </c>
      <c r="J32" s="23">
        <f t="shared" si="1"/>
        <v>0</v>
      </c>
      <c r="K32" s="23">
        <f t="shared" si="2"/>
        <v>3000</v>
      </c>
      <c r="L32" s="23">
        <f t="shared" si="3"/>
        <v>34787.308500000006</v>
      </c>
      <c r="M32" s="23">
        <f t="shared" si="4"/>
        <v>0</v>
      </c>
      <c r="N32" s="23">
        <f t="shared" si="5"/>
        <v>0</v>
      </c>
    </row>
    <row r="33" spans="1:14" ht="16.5" thickBot="1" x14ac:dyDescent="0.3">
      <c r="A33" s="76">
        <f>brackets_gross!A42</f>
        <v>124000</v>
      </c>
      <c r="B33" s="60">
        <f>MIN(output!$B$2,A33*output!$C$2)</f>
        <v>4514.87</v>
      </c>
      <c r="C33" s="60">
        <f>A33*output!$D$2</f>
        <v>3286</v>
      </c>
      <c r="D33" s="44">
        <f t="shared" ref="D33:D35" si="11">A33-B33-C33</f>
        <v>116199.13</v>
      </c>
      <c r="E33" s="121">
        <f t="shared" ref="E33:E35" si="12">(C33+B33)/A33</f>
        <v>6.2910241935483877E-2</v>
      </c>
      <c r="F33" s="44">
        <f t="shared" si="0"/>
        <v>39539.608500000002</v>
      </c>
      <c r="G33" s="44">
        <f t="shared" si="8"/>
        <v>47340.478500000005</v>
      </c>
      <c r="H33" s="44">
        <f t="shared" ref="H33:H35" si="13">A33-B33-C33-F33</f>
        <v>76659.521500000003</v>
      </c>
      <c r="I33" s="121">
        <f t="shared" ref="I33:I35" si="14">(B33+C33+F33)/A33</f>
        <v>0.38177805241935486</v>
      </c>
      <c r="J33" s="23">
        <f t="shared" si="1"/>
        <v>0</v>
      </c>
      <c r="K33" s="23">
        <f t="shared" si="2"/>
        <v>3000</v>
      </c>
      <c r="L33" s="23">
        <f t="shared" si="3"/>
        <v>36539.608500000002</v>
      </c>
      <c r="M33" s="23">
        <f t="shared" si="4"/>
        <v>0</v>
      </c>
      <c r="N33" s="23">
        <f t="shared" si="5"/>
        <v>0</v>
      </c>
    </row>
    <row r="34" spans="1:14" ht="16.5" thickBot="1" x14ac:dyDescent="0.3">
      <c r="A34" s="76">
        <f>brackets_gross!A43</f>
        <v>128000</v>
      </c>
      <c r="B34" s="60">
        <f>MIN(output!$B$2,A34*output!$C$2)</f>
        <v>4514.87</v>
      </c>
      <c r="C34" s="60">
        <f>A34*output!$D$2</f>
        <v>3392</v>
      </c>
      <c r="D34" s="44">
        <f t="shared" si="11"/>
        <v>120093.13</v>
      </c>
      <c r="E34" s="121">
        <f t="shared" si="12"/>
        <v>6.1772421874999997E-2</v>
      </c>
      <c r="F34" s="44">
        <f t="shared" si="0"/>
        <v>41291.908500000005</v>
      </c>
      <c r="G34" s="44">
        <f t="shared" si="8"/>
        <v>49198.778500000008</v>
      </c>
      <c r="H34" s="44">
        <f t="shared" si="13"/>
        <v>78801.2215</v>
      </c>
      <c r="I34" s="121">
        <f t="shared" si="14"/>
        <v>0.38436545703125008</v>
      </c>
      <c r="J34" s="23">
        <f t="shared" si="1"/>
        <v>0</v>
      </c>
      <c r="K34" s="23">
        <f t="shared" si="2"/>
        <v>3000</v>
      </c>
      <c r="L34" s="23">
        <f t="shared" si="3"/>
        <v>38291.908500000005</v>
      </c>
      <c r="M34" s="23">
        <f t="shared" si="4"/>
        <v>0</v>
      </c>
      <c r="N34" s="23">
        <f t="shared" si="5"/>
        <v>0</v>
      </c>
    </row>
    <row r="35" spans="1:14" ht="16.5" thickBot="1" x14ac:dyDescent="0.3">
      <c r="A35" s="76">
        <f>brackets_gross!A44</f>
        <v>132000</v>
      </c>
      <c r="B35" s="60">
        <f>MIN(output!$B$2,A35*output!$C$2)</f>
        <v>4514.87</v>
      </c>
      <c r="C35" s="60">
        <f>A35*output!$D$2</f>
        <v>3498</v>
      </c>
      <c r="D35" s="44">
        <f t="shared" si="11"/>
        <v>123987.13</v>
      </c>
      <c r="E35" s="121">
        <f t="shared" si="12"/>
        <v>6.0703560606060608E-2</v>
      </c>
      <c r="F35" s="44">
        <f t="shared" si="0"/>
        <v>43044.208500000001</v>
      </c>
      <c r="G35" s="44">
        <f t="shared" si="8"/>
        <v>51057.078500000003</v>
      </c>
      <c r="H35" s="44">
        <f t="shared" si="13"/>
        <v>80942.921499999997</v>
      </c>
      <c r="I35" s="121">
        <f t="shared" si="14"/>
        <v>0.38679604924242428</v>
      </c>
      <c r="J35" s="23">
        <f t="shared" si="1"/>
        <v>0</v>
      </c>
      <c r="K35" s="23">
        <f t="shared" si="2"/>
        <v>3000</v>
      </c>
      <c r="L35" s="23">
        <f t="shared" si="3"/>
        <v>40044.208500000001</v>
      </c>
      <c r="M35" s="23">
        <f t="shared" si="4"/>
        <v>0</v>
      </c>
      <c r="N35" s="23">
        <f t="shared" si="5"/>
        <v>0</v>
      </c>
    </row>
    <row r="36" spans="1:14" ht="16.5" thickBot="1" x14ac:dyDescent="0.3">
      <c r="A36" s="76">
        <f>brackets_gross!A45</f>
        <v>136000</v>
      </c>
      <c r="B36" s="60">
        <f>MIN(output!$B$2,A36*output!$C$2)</f>
        <v>4514.87</v>
      </c>
      <c r="C36" s="60">
        <f>A36*output!$D$2</f>
        <v>3604</v>
      </c>
      <c r="D36" s="44">
        <f t="shared" ref="D36:D37" si="15">A36-B36-C36</f>
        <v>127881.13</v>
      </c>
      <c r="E36" s="121">
        <f t="shared" ref="E36:E37" si="16">(C36+B36)/A36</f>
        <v>5.9697573529411761E-2</v>
      </c>
      <c r="F36" s="44">
        <f t="shared" si="0"/>
        <v>44796.508500000004</v>
      </c>
      <c r="G36" s="44">
        <f t="shared" si="8"/>
        <v>52915.378500000006</v>
      </c>
      <c r="H36" s="44">
        <f t="shared" ref="H36:H37" si="17">A36-B36-C36-F36</f>
        <v>83084.621500000008</v>
      </c>
      <c r="I36" s="121">
        <f t="shared" ref="I36:I37" si="18">(B36+C36+F36)/A36</f>
        <v>0.38908366544117651</v>
      </c>
      <c r="J36" s="23">
        <f t="shared" si="1"/>
        <v>0</v>
      </c>
      <c r="K36" s="23">
        <f t="shared" si="2"/>
        <v>3000</v>
      </c>
      <c r="L36" s="23">
        <f t="shared" si="3"/>
        <v>41796.508500000004</v>
      </c>
      <c r="M36" s="23">
        <f t="shared" si="4"/>
        <v>0</v>
      </c>
      <c r="N36" s="23">
        <f t="shared" si="5"/>
        <v>0</v>
      </c>
    </row>
    <row r="37" spans="1:14" ht="16.5" thickBot="1" x14ac:dyDescent="0.3">
      <c r="A37" s="76">
        <f>brackets_gross!A46</f>
        <v>140000</v>
      </c>
      <c r="B37" s="60">
        <f>MIN(output!$B$2,A37*output!$C$2)</f>
        <v>4514.87</v>
      </c>
      <c r="C37" s="60">
        <f>A37*output!$D$2</f>
        <v>3710</v>
      </c>
      <c r="D37" s="44">
        <f t="shared" si="15"/>
        <v>131775.13</v>
      </c>
      <c r="E37" s="121">
        <f t="shared" si="16"/>
        <v>5.8749071428571421E-2</v>
      </c>
      <c r="F37" s="44">
        <f t="shared" si="0"/>
        <v>46548.808500000006</v>
      </c>
      <c r="G37" s="44">
        <f t="shared" si="8"/>
        <v>54773.678500000009</v>
      </c>
      <c r="H37" s="44">
        <f t="shared" si="17"/>
        <v>85226.321499999991</v>
      </c>
      <c r="I37" s="121">
        <f t="shared" si="18"/>
        <v>0.39124056071428576</v>
      </c>
      <c r="J37" s="23">
        <f t="shared" si="1"/>
        <v>0</v>
      </c>
      <c r="K37" s="23">
        <f t="shared" si="2"/>
        <v>3000</v>
      </c>
      <c r="L37" s="23">
        <f t="shared" si="3"/>
        <v>43548.808500000006</v>
      </c>
      <c r="M37" s="23">
        <f t="shared" si="4"/>
        <v>0</v>
      </c>
      <c r="N37" s="23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539D-15C4-4A03-8BB0-E116A3B3C574}">
  <sheetPr>
    <tabColor theme="8" tint="0.79998168889431442"/>
  </sheetPr>
  <dimension ref="A1:M38"/>
  <sheetViews>
    <sheetView workbookViewId="0">
      <pane ySplit="1" topLeftCell="A4" activePane="bottomLeft" state="frozen"/>
      <selection activeCell="B21" sqref="B21"/>
      <selection pane="bottomLeft" activeCell="J13" sqref="J13"/>
    </sheetView>
  </sheetViews>
  <sheetFormatPr defaultRowHeight="15" x14ac:dyDescent="0.25"/>
  <cols>
    <col min="1" max="1" width="16.7109375" bestFit="1" customWidth="1"/>
    <col min="2" max="2" width="24.85546875" bestFit="1" customWidth="1"/>
    <col min="3" max="3" width="26.28515625" bestFit="1" customWidth="1"/>
    <col min="4" max="4" width="27.28515625" bestFit="1" customWidth="1"/>
    <col min="5" max="5" width="10.28515625" bestFit="1" customWidth="1"/>
    <col min="6" max="6" width="11.5703125" bestFit="1" customWidth="1"/>
    <col min="7" max="7" width="12.5703125" bestFit="1" customWidth="1"/>
    <col min="8" max="8" width="20.28515625" bestFit="1" customWidth="1"/>
    <col min="9" max="9" width="21.7109375" bestFit="1" customWidth="1"/>
    <col min="10" max="10" width="22.7109375" bestFit="1" customWidth="1"/>
    <col min="11" max="11" width="16" bestFit="1" customWidth="1"/>
    <col min="12" max="12" width="16.85546875" bestFit="1" customWidth="1"/>
    <col min="13" max="13" width="22.140625" bestFit="1" customWidth="1"/>
  </cols>
  <sheetData>
    <row r="1" spans="1:13" ht="19.5" thickBot="1" x14ac:dyDescent="0.35">
      <c r="A1" s="157" t="s">
        <v>33</v>
      </c>
      <c r="B1" s="157" t="s">
        <v>89</v>
      </c>
      <c r="C1" s="157" t="s">
        <v>90</v>
      </c>
      <c r="D1" s="157" t="s">
        <v>93</v>
      </c>
      <c r="E1" s="157" t="s">
        <v>92</v>
      </c>
      <c r="F1" s="157" t="s">
        <v>91</v>
      </c>
      <c r="G1" s="157" t="s">
        <v>94</v>
      </c>
      <c r="H1" s="157" t="s">
        <v>96</v>
      </c>
      <c r="I1" s="157" t="s">
        <v>97</v>
      </c>
      <c r="J1" s="157" t="s">
        <v>98</v>
      </c>
      <c r="K1" s="157" t="s">
        <v>127</v>
      </c>
      <c r="L1" s="157" t="s">
        <v>95</v>
      </c>
      <c r="M1" s="157" t="s">
        <v>128</v>
      </c>
    </row>
    <row r="2" spans="1:13" ht="15.75" x14ac:dyDescent="0.25">
      <c r="A2" s="116">
        <f>brackets_gross!A11</f>
        <v>0</v>
      </c>
      <c r="B2" s="117">
        <f>taxable_old!D2</f>
        <v>0</v>
      </c>
      <c r="C2" s="117">
        <f>taxable_new!D2</f>
        <v>0</v>
      </c>
      <c r="D2" s="60">
        <f>C2-B2</f>
        <v>0</v>
      </c>
      <c r="E2" s="120">
        <f>taxable_old!I2</f>
        <v>0</v>
      </c>
      <c r="F2" s="120">
        <f>taxable_new!I2</f>
        <v>0</v>
      </c>
      <c r="G2" s="121">
        <f>F2-E2</f>
        <v>0</v>
      </c>
      <c r="H2" s="117">
        <f>taxable_old!H2</f>
        <v>0</v>
      </c>
      <c r="I2" s="117">
        <f>taxable_new!H2</f>
        <v>0</v>
      </c>
      <c r="J2" s="44">
        <f>I2-H2</f>
        <v>0</v>
      </c>
      <c r="K2" s="23">
        <f>output!B2-output!B9</f>
        <v>0</v>
      </c>
      <c r="L2" s="23">
        <f>output!C2-output!C9</f>
        <v>0</v>
      </c>
      <c r="M2" s="23">
        <f>output!D2-output!D9</f>
        <v>0</v>
      </c>
    </row>
    <row r="3" spans="1:13" ht="15.75" x14ac:dyDescent="0.25">
      <c r="A3" s="63">
        <f>brackets_gross!A12</f>
        <v>4000</v>
      </c>
      <c r="B3" s="60">
        <f>taxable_old!D3</f>
        <v>3562</v>
      </c>
      <c r="C3" s="60">
        <f>taxable_new!D3</f>
        <v>3562</v>
      </c>
      <c r="D3" s="60">
        <f t="shared" ref="D3:D32" si="0">C3-B3</f>
        <v>0</v>
      </c>
      <c r="E3" s="121">
        <f>taxable_old!I3</f>
        <v>0.1095</v>
      </c>
      <c r="F3" s="121">
        <f>taxable_new!I3</f>
        <v>0.1095</v>
      </c>
      <c r="G3" s="121">
        <f t="shared" ref="G3:G32" si="1">F3-E3</f>
        <v>0</v>
      </c>
      <c r="H3" s="60">
        <f>taxable_old!H3</f>
        <v>3562</v>
      </c>
      <c r="I3" s="60">
        <f>taxable_new!H3</f>
        <v>3562</v>
      </c>
      <c r="J3" s="44">
        <f t="shared" ref="J3:J32" si="2">I3-H3</f>
        <v>0</v>
      </c>
    </row>
    <row r="4" spans="1:13" ht="15.75" x14ac:dyDescent="0.25">
      <c r="A4" s="63">
        <f>brackets_gross!A13</f>
        <v>8000</v>
      </c>
      <c r="B4" s="60">
        <f>taxable_old!D4</f>
        <v>7124</v>
      </c>
      <c r="C4" s="60">
        <f>taxable_new!D4</f>
        <v>7124</v>
      </c>
      <c r="D4" s="60">
        <f t="shared" si="0"/>
        <v>0</v>
      </c>
      <c r="E4" s="121">
        <f>taxable_old!I4</f>
        <v>0.1095</v>
      </c>
      <c r="F4" s="121">
        <f>taxable_new!I4</f>
        <v>0.1095</v>
      </c>
      <c r="G4" s="121">
        <f t="shared" si="1"/>
        <v>0</v>
      </c>
      <c r="H4" s="60">
        <f>taxable_old!H4</f>
        <v>7124</v>
      </c>
      <c r="I4" s="60">
        <f>taxable_new!H4</f>
        <v>7124</v>
      </c>
      <c r="J4" s="44">
        <f t="shared" si="2"/>
        <v>0</v>
      </c>
    </row>
    <row r="5" spans="1:13" ht="15.75" x14ac:dyDescent="0.25">
      <c r="A5" s="63">
        <f>brackets_gross!A14</f>
        <v>12000</v>
      </c>
      <c r="B5" s="60">
        <f>taxable_old!D5</f>
        <v>10686</v>
      </c>
      <c r="C5" s="60">
        <f>taxable_new!D5</f>
        <v>10686</v>
      </c>
      <c r="D5" s="60">
        <f t="shared" si="0"/>
        <v>0</v>
      </c>
      <c r="E5" s="121">
        <f>taxable_old!I5</f>
        <v>0.1095</v>
      </c>
      <c r="F5" s="121">
        <f>taxable_new!I5</f>
        <v>0.1095</v>
      </c>
      <c r="G5" s="121">
        <f t="shared" si="1"/>
        <v>0</v>
      </c>
      <c r="H5" s="60">
        <f>taxable_old!H5</f>
        <v>10686</v>
      </c>
      <c r="I5" s="60">
        <f>taxable_new!H5</f>
        <v>10686</v>
      </c>
      <c r="J5" s="44">
        <f t="shared" si="2"/>
        <v>0</v>
      </c>
    </row>
    <row r="6" spans="1:13" ht="15.75" x14ac:dyDescent="0.25">
      <c r="A6" s="63">
        <f>brackets_gross!A15</f>
        <v>16000</v>
      </c>
      <c r="B6" s="60">
        <f>taxable_old!D6</f>
        <v>14248</v>
      </c>
      <c r="C6" s="60">
        <f>taxable_new!D6</f>
        <v>14248</v>
      </c>
      <c r="D6" s="60">
        <f t="shared" si="0"/>
        <v>0</v>
      </c>
      <c r="E6" s="121">
        <f>taxable_old!I6</f>
        <v>0.1095</v>
      </c>
      <c r="F6" s="121">
        <f>taxable_new!I6</f>
        <v>0.1095</v>
      </c>
      <c r="G6" s="121">
        <f t="shared" si="1"/>
        <v>0</v>
      </c>
      <c r="H6" s="60">
        <f>taxable_old!H6</f>
        <v>14248</v>
      </c>
      <c r="I6" s="60">
        <f>taxable_new!H6</f>
        <v>14248</v>
      </c>
      <c r="J6" s="44">
        <f t="shared" si="2"/>
        <v>0</v>
      </c>
    </row>
    <row r="7" spans="1:13" ht="15.75" x14ac:dyDescent="0.25">
      <c r="A7" s="63">
        <f>brackets_gross!A16</f>
        <v>20000</v>
      </c>
      <c r="B7" s="60">
        <f>taxable_old!D7</f>
        <v>17810</v>
      </c>
      <c r="C7" s="60">
        <f>taxable_new!D7</f>
        <v>17810</v>
      </c>
      <c r="D7" s="60">
        <f t="shared" si="0"/>
        <v>0</v>
      </c>
      <c r="E7" s="121">
        <f>taxable_old!I7</f>
        <v>0.1095</v>
      </c>
      <c r="F7" s="121">
        <f>taxable_new!I7</f>
        <v>0.1095</v>
      </c>
      <c r="G7" s="121">
        <f t="shared" si="1"/>
        <v>0</v>
      </c>
      <c r="H7" s="60">
        <f>taxable_old!H7</f>
        <v>17810</v>
      </c>
      <c r="I7" s="60">
        <f>taxable_new!H7</f>
        <v>17810</v>
      </c>
      <c r="J7" s="44">
        <f t="shared" si="2"/>
        <v>0</v>
      </c>
    </row>
    <row r="8" spans="1:13" ht="15.75" x14ac:dyDescent="0.25">
      <c r="A8" s="63">
        <f>brackets_gross!A17</f>
        <v>24000</v>
      </c>
      <c r="B8" s="60">
        <f>taxable_old!D8</f>
        <v>21372</v>
      </c>
      <c r="C8" s="60">
        <f>taxable_new!D8</f>
        <v>21372</v>
      </c>
      <c r="D8" s="60">
        <f t="shared" si="0"/>
        <v>0</v>
      </c>
      <c r="E8" s="121">
        <f>taxable_old!I8</f>
        <v>0.12510000000000002</v>
      </c>
      <c r="F8" s="121">
        <f>taxable_new!I8</f>
        <v>0.1095</v>
      </c>
      <c r="G8" s="121">
        <f t="shared" si="1"/>
        <v>-1.5600000000000017E-2</v>
      </c>
      <c r="H8" s="60">
        <f>taxable_old!H8</f>
        <v>20997.599999999999</v>
      </c>
      <c r="I8" s="60">
        <f>taxable_new!H8</f>
        <v>21372</v>
      </c>
      <c r="J8" s="44">
        <f t="shared" si="2"/>
        <v>374.40000000000146</v>
      </c>
    </row>
    <row r="9" spans="1:13" ht="15.75" x14ac:dyDescent="0.25">
      <c r="A9" s="63">
        <f>brackets_gross!A18</f>
        <v>28000</v>
      </c>
      <c r="B9" s="60">
        <f>taxable_old!D9</f>
        <v>24934</v>
      </c>
      <c r="C9" s="60">
        <f>taxable_new!D9</f>
        <v>24934</v>
      </c>
      <c r="D9" s="60">
        <f t="shared" si="0"/>
        <v>0</v>
      </c>
      <c r="E9" s="121">
        <f>taxable_old!I9</f>
        <v>0.14831428571428573</v>
      </c>
      <c r="F9" s="121">
        <f>taxable_new!I9</f>
        <v>0.1095</v>
      </c>
      <c r="G9" s="121">
        <f t="shared" si="1"/>
        <v>-3.8814285714285732E-2</v>
      </c>
      <c r="H9" s="60">
        <f>taxable_old!H9</f>
        <v>23847.200000000001</v>
      </c>
      <c r="I9" s="60">
        <f>taxable_new!H9</f>
        <v>24934</v>
      </c>
      <c r="J9" s="44">
        <f t="shared" si="2"/>
        <v>1086.7999999999993</v>
      </c>
    </row>
    <row r="10" spans="1:13" ht="15.75" x14ac:dyDescent="0.25">
      <c r="A10" s="63">
        <f>brackets_gross!A19</f>
        <v>32000</v>
      </c>
      <c r="B10" s="60">
        <f>taxable_old!D10</f>
        <v>28496</v>
      </c>
      <c r="C10" s="60">
        <f>taxable_new!D10</f>
        <v>28496</v>
      </c>
      <c r="D10" s="60">
        <f t="shared" si="0"/>
        <v>0</v>
      </c>
      <c r="E10" s="121">
        <f>taxable_old!I10</f>
        <v>0.16650000000000001</v>
      </c>
      <c r="F10" s="121">
        <f>taxable_new!I10</f>
        <v>0.14227500000000001</v>
      </c>
      <c r="G10" s="121">
        <f t="shared" si="1"/>
        <v>-2.4224999999999997E-2</v>
      </c>
      <c r="H10" s="60">
        <f>taxable_old!H10</f>
        <v>26672</v>
      </c>
      <c r="I10" s="60">
        <f>taxable_new!H10</f>
        <v>27447.200000000001</v>
      </c>
      <c r="J10" s="44">
        <f t="shared" si="2"/>
        <v>775.20000000000073</v>
      </c>
    </row>
    <row r="11" spans="1:13" ht="15.75" x14ac:dyDescent="0.25">
      <c r="A11" s="63">
        <f>brackets_gross!A20</f>
        <v>36000</v>
      </c>
      <c r="B11" s="60">
        <f>taxable_old!D11</f>
        <v>32058</v>
      </c>
      <c r="C11" s="60">
        <f>taxable_new!D11</f>
        <v>32058</v>
      </c>
      <c r="D11" s="60">
        <f t="shared" si="0"/>
        <v>0</v>
      </c>
      <c r="E11" s="121">
        <f>taxable_old!I11</f>
        <v>0.18490277777777778</v>
      </c>
      <c r="F11" s="121">
        <f>taxable_new!I11</f>
        <v>0.16831666666666667</v>
      </c>
      <c r="G11" s="121">
        <f t="shared" si="1"/>
        <v>-1.6586111111111107E-2</v>
      </c>
      <c r="H11" s="60">
        <f>taxable_old!H11</f>
        <v>29343.5</v>
      </c>
      <c r="I11" s="60">
        <f>taxable_new!H11</f>
        <v>29940.6</v>
      </c>
      <c r="J11" s="44">
        <f t="shared" si="2"/>
        <v>597.09999999999854</v>
      </c>
    </row>
    <row r="12" spans="1:13" ht="15.75" x14ac:dyDescent="0.25">
      <c r="A12" s="63">
        <f>brackets_gross!A21</f>
        <v>40000</v>
      </c>
      <c r="B12" s="60">
        <f>taxable_old!D12</f>
        <v>35620</v>
      </c>
      <c r="C12" s="60">
        <f>taxable_new!D12</f>
        <v>35620</v>
      </c>
      <c r="D12" s="60">
        <f t="shared" si="0"/>
        <v>0</v>
      </c>
      <c r="E12" s="121">
        <f>taxable_old!I12</f>
        <v>0.199625</v>
      </c>
      <c r="F12" s="121">
        <f>taxable_new!I12</f>
        <v>0.19147500000000001</v>
      </c>
      <c r="G12" s="121">
        <f t="shared" si="1"/>
        <v>-8.1499999999999906E-3</v>
      </c>
      <c r="H12" s="60">
        <f>taxable_old!H12</f>
        <v>32015</v>
      </c>
      <c r="I12" s="60">
        <f>taxable_new!H12</f>
        <v>32341</v>
      </c>
      <c r="J12" s="44">
        <f t="shared" si="2"/>
        <v>326</v>
      </c>
    </row>
    <row r="13" spans="1:13" ht="15.75" x14ac:dyDescent="0.25">
      <c r="A13" s="63">
        <f>brackets_gross!A22</f>
        <v>44000</v>
      </c>
      <c r="B13" s="60">
        <f>taxable_old!D13</f>
        <v>39182</v>
      </c>
      <c r="C13" s="60">
        <f>taxable_new!D13</f>
        <v>39182</v>
      </c>
      <c r="D13" s="60">
        <f t="shared" si="0"/>
        <v>0</v>
      </c>
      <c r="E13" s="121">
        <f>taxable_old!I13</f>
        <v>0.21494545454545455</v>
      </c>
      <c r="F13" s="121">
        <f>taxable_new!I13</f>
        <v>0.22045227272727272</v>
      </c>
      <c r="G13" s="121">
        <f t="shared" si="1"/>
        <v>5.5068181818181683E-3</v>
      </c>
      <c r="H13" s="60">
        <f>taxable_old!H13</f>
        <v>34542.400000000001</v>
      </c>
      <c r="I13" s="60">
        <f>taxable_new!H13</f>
        <v>34300.1</v>
      </c>
      <c r="J13" s="44">
        <f t="shared" si="2"/>
        <v>-242.30000000000291</v>
      </c>
    </row>
    <row r="14" spans="1:13" ht="15.75" x14ac:dyDescent="0.25">
      <c r="A14" s="63">
        <f>brackets_gross!A23</f>
        <v>48000</v>
      </c>
      <c r="B14" s="60">
        <f>taxable_old!D14</f>
        <v>42744</v>
      </c>
      <c r="C14" s="60">
        <f>taxable_new!D14</f>
        <v>42744</v>
      </c>
      <c r="D14" s="60">
        <f t="shared" si="0"/>
        <v>0</v>
      </c>
      <c r="E14" s="121">
        <f>taxable_old!I14</f>
        <v>0.22842083333333335</v>
      </c>
      <c r="F14" s="121">
        <f>taxable_new!I14</f>
        <v>0.24459999999999998</v>
      </c>
      <c r="G14" s="121">
        <f t="shared" si="1"/>
        <v>1.6179166666666633E-2</v>
      </c>
      <c r="H14" s="60">
        <f>taxable_old!H14</f>
        <v>37035.800000000003</v>
      </c>
      <c r="I14" s="60">
        <f>taxable_new!H14</f>
        <v>36259.199999999997</v>
      </c>
      <c r="J14" s="44">
        <f t="shared" si="2"/>
        <v>-776.60000000000582</v>
      </c>
    </row>
    <row r="15" spans="1:13" ht="15.75" x14ac:dyDescent="0.25">
      <c r="A15" s="63">
        <f>brackets_gross!A24</f>
        <v>52000</v>
      </c>
      <c r="B15" s="60">
        <f>taxable_old!D15</f>
        <v>46306</v>
      </c>
      <c r="C15" s="60">
        <f>taxable_new!D15</f>
        <v>46306</v>
      </c>
      <c r="D15" s="60">
        <f t="shared" si="0"/>
        <v>0</v>
      </c>
      <c r="E15" s="121">
        <f>taxable_old!I15</f>
        <v>0.23982307692307692</v>
      </c>
      <c r="F15" s="121">
        <f>taxable_new!I15</f>
        <v>0.26503269230769233</v>
      </c>
      <c r="G15" s="121">
        <f t="shared" si="1"/>
        <v>2.5209615384615414E-2</v>
      </c>
      <c r="H15" s="60">
        <f>taxable_old!H15</f>
        <v>39529.199999999997</v>
      </c>
      <c r="I15" s="60">
        <f>taxable_new!H15</f>
        <v>38218.300000000003</v>
      </c>
      <c r="J15" s="44">
        <f t="shared" si="2"/>
        <v>-1310.8999999999942</v>
      </c>
    </row>
    <row r="16" spans="1:13" ht="15.75" x14ac:dyDescent="0.25">
      <c r="A16" s="63">
        <f>brackets_gross!A25</f>
        <v>56000</v>
      </c>
      <c r="B16" s="60">
        <f>taxable_old!D16</f>
        <v>50001.13</v>
      </c>
      <c r="C16" s="60">
        <f>taxable_new!D16</f>
        <v>50001.13</v>
      </c>
      <c r="D16" s="60">
        <f t="shared" si="0"/>
        <v>0</v>
      </c>
      <c r="E16" s="121">
        <f>taxable_old!I16</f>
        <v>0.24793230357142856</v>
      </c>
      <c r="F16" s="121">
        <f>taxable_new!I16</f>
        <v>0.28123890178571426</v>
      </c>
      <c r="G16" s="121">
        <f t="shared" si="1"/>
        <v>3.3306598214285693E-2</v>
      </c>
      <c r="H16" s="60">
        <f>taxable_old!H16</f>
        <v>42115.790999999997</v>
      </c>
      <c r="I16" s="60">
        <f>taxable_new!H16</f>
        <v>40250.621499999994</v>
      </c>
      <c r="J16" s="44">
        <f t="shared" si="2"/>
        <v>-1865.1695000000036</v>
      </c>
    </row>
    <row r="17" spans="1:10" ht="15.75" x14ac:dyDescent="0.25">
      <c r="A17" s="63">
        <f>brackets_gross!A26</f>
        <v>60000</v>
      </c>
      <c r="B17" s="60">
        <f>taxable_old!D17</f>
        <v>53895.13</v>
      </c>
      <c r="C17" s="60">
        <f>taxable_new!D17</f>
        <v>53895.13</v>
      </c>
      <c r="D17" s="60">
        <f t="shared" si="0"/>
        <v>0</v>
      </c>
      <c r="E17" s="121">
        <f>taxable_old!I17</f>
        <v>0.25264015000000001</v>
      </c>
      <c r="F17" s="121">
        <f>taxable_new!I17</f>
        <v>0.29346130833333328</v>
      </c>
      <c r="G17" s="121">
        <f t="shared" si="1"/>
        <v>4.0821158333333274E-2</v>
      </c>
      <c r="H17" s="60">
        <f>taxable_old!H17</f>
        <v>44841.591</v>
      </c>
      <c r="I17" s="60">
        <f>taxable_new!H17</f>
        <v>42392.321499999998</v>
      </c>
      <c r="J17" s="44">
        <f t="shared" si="2"/>
        <v>-2449.2695000000022</v>
      </c>
    </row>
    <row r="18" spans="1:10" ht="15.75" x14ac:dyDescent="0.25">
      <c r="A18" s="63">
        <f>brackets_gross!A27</f>
        <v>64000</v>
      </c>
      <c r="B18" s="60">
        <f>taxable_old!D18</f>
        <v>57789.13</v>
      </c>
      <c r="C18" s="60">
        <f>taxable_new!D18</f>
        <v>57789.13</v>
      </c>
      <c r="D18" s="60">
        <f t="shared" si="0"/>
        <v>0</v>
      </c>
      <c r="E18" s="121">
        <f>taxable_old!I18</f>
        <v>0.25675951562499993</v>
      </c>
      <c r="F18" s="121">
        <f>taxable_new!I18</f>
        <v>0.30415591406249998</v>
      </c>
      <c r="G18" s="121">
        <f t="shared" si="1"/>
        <v>4.7396398437500042E-2</v>
      </c>
      <c r="H18" s="60">
        <f>taxable_old!H18</f>
        <v>47567.391000000003</v>
      </c>
      <c r="I18" s="60">
        <f>taxable_new!H18</f>
        <v>44534.021500000003</v>
      </c>
      <c r="J18" s="44">
        <f t="shared" si="2"/>
        <v>-3033.3695000000007</v>
      </c>
    </row>
    <row r="19" spans="1:10" ht="15.75" x14ac:dyDescent="0.25">
      <c r="A19" s="63">
        <f>brackets_gross!A28</f>
        <v>68000</v>
      </c>
      <c r="B19" s="60">
        <f>taxable_old!D19</f>
        <v>61683.13</v>
      </c>
      <c r="C19" s="60">
        <f>taxable_new!D19</f>
        <v>61683.13</v>
      </c>
      <c r="D19" s="60">
        <f t="shared" si="0"/>
        <v>0</v>
      </c>
      <c r="E19" s="121">
        <f>taxable_old!I19</f>
        <v>0.26163184558823527</v>
      </c>
      <c r="F19" s="121">
        <f>taxable_new!I19</f>
        <v>0.31359233088235294</v>
      </c>
      <c r="G19" s="121">
        <f t="shared" si="1"/>
        <v>5.1960485294117675E-2</v>
      </c>
      <c r="H19" s="60">
        <f>taxable_old!H19</f>
        <v>50209.034499999994</v>
      </c>
      <c r="I19" s="60">
        <f>taxable_new!H19</f>
        <v>46675.7215</v>
      </c>
      <c r="J19" s="44">
        <f t="shared" si="2"/>
        <v>-3533.3129999999946</v>
      </c>
    </row>
    <row r="20" spans="1:10" ht="15.75" x14ac:dyDescent="0.25">
      <c r="A20" s="63">
        <f>brackets_gross!A29</f>
        <v>72000</v>
      </c>
      <c r="B20" s="60">
        <f>taxable_old!D20</f>
        <v>65577.13</v>
      </c>
      <c r="C20" s="60">
        <f>taxable_new!D20</f>
        <v>65577.13</v>
      </c>
      <c r="D20" s="60">
        <f t="shared" si="0"/>
        <v>0</v>
      </c>
      <c r="E20" s="121">
        <f>taxable_old!I20</f>
        <v>0.26749813194444444</v>
      </c>
      <c r="F20" s="121">
        <f>taxable_new!I20</f>
        <v>0.32198025694444443</v>
      </c>
      <c r="G20" s="121">
        <f t="shared" si="1"/>
        <v>5.4482124999999992E-2</v>
      </c>
      <c r="H20" s="60">
        <f>taxable_old!H20</f>
        <v>52740.1345</v>
      </c>
      <c r="I20" s="60">
        <f>taxable_new!H20</f>
        <v>48817.421500000004</v>
      </c>
      <c r="J20" s="44">
        <f t="shared" si="2"/>
        <v>-3922.7129999999961</v>
      </c>
    </row>
    <row r="21" spans="1:10" ht="15.75" x14ac:dyDescent="0.25">
      <c r="A21" s="63">
        <f>brackets_gross!A30</f>
        <v>76000</v>
      </c>
      <c r="B21" s="60">
        <f>taxable_old!D21</f>
        <v>69471.13</v>
      </c>
      <c r="C21" s="60">
        <f>taxable_new!D21</f>
        <v>69471.13</v>
      </c>
      <c r="D21" s="60">
        <f t="shared" si="0"/>
        <v>0</v>
      </c>
      <c r="E21" s="121">
        <f>taxable_old!I21</f>
        <v>0.27274691447368421</v>
      </c>
      <c r="F21" s="121">
        <f>taxable_new!I21</f>
        <v>0.32948524342105268</v>
      </c>
      <c r="G21" s="121">
        <f t="shared" si="1"/>
        <v>5.6738328947368466E-2</v>
      </c>
      <c r="H21" s="60">
        <f>taxable_old!H21</f>
        <v>55271.234500000006</v>
      </c>
      <c r="I21" s="60">
        <f>taxable_new!H21</f>
        <v>50959.121500000001</v>
      </c>
      <c r="J21" s="44">
        <f t="shared" si="2"/>
        <v>-4312.1130000000048</v>
      </c>
    </row>
    <row r="22" spans="1:10" ht="15.75" x14ac:dyDescent="0.25">
      <c r="A22" s="63">
        <f>brackets_gross!A31</f>
        <v>80000</v>
      </c>
      <c r="B22" s="60">
        <f>taxable_old!D22</f>
        <v>73365.13</v>
      </c>
      <c r="C22" s="60">
        <f>taxable_new!D22</f>
        <v>73365.13</v>
      </c>
      <c r="D22" s="60">
        <f t="shared" si="0"/>
        <v>0</v>
      </c>
      <c r="E22" s="121">
        <f>taxable_old!I22</f>
        <v>0.27747081875000001</v>
      </c>
      <c r="F22" s="121">
        <f>taxable_new!I22</f>
        <v>0.33623973125000001</v>
      </c>
      <c r="G22" s="121">
        <f t="shared" si="1"/>
        <v>5.8768912499999992E-2</v>
      </c>
      <c r="H22" s="60">
        <f>taxable_old!H22</f>
        <v>57802.334500000004</v>
      </c>
      <c r="I22" s="60">
        <f>taxable_new!H22</f>
        <v>53100.821500000005</v>
      </c>
      <c r="J22" s="44">
        <f t="shared" si="2"/>
        <v>-4701.512999999999</v>
      </c>
    </row>
    <row r="23" spans="1:10" ht="15.75" x14ac:dyDescent="0.25">
      <c r="A23" s="63">
        <f>brackets_gross!A32</f>
        <v>84000</v>
      </c>
      <c r="B23" s="60">
        <f>taxable_old!D23</f>
        <v>77259.13</v>
      </c>
      <c r="C23" s="60">
        <f>taxable_new!D23</f>
        <v>77259.13</v>
      </c>
      <c r="D23" s="60">
        <f t="shared" si="0"/>
        <v>0</v>
      </c>
      <c r="E23" s="121">
        <f>taxable_old!I23</f>
        <v>0.28174482738095241</v>
      </c>
      <c r="F23" s="121">
        <f>taxable_new!I23</f>
        <v>0.34235093452380955</v>
      </c>
      <c r="G23" s="121">
        <f t="shared" si="1"/>
        <v>6.0606107142857135E-2</v>
      </c>
      <c r="H23" s="60">
        <f>taxable_old!H23</f>
        <v>60333.434500000003</v>
      </c>
      <c r="I23" s="60">
        <f>taxable_new!H23</f>
        <v>55242.521500000003</v>
      </c>
      <c r="J23" s="44">
        <f t="shared" si="2"/>
        <v>-5090.9130000000005</v>
      </c>
    </row>
    <row r="24" spans="1:10" ht="15.75" x14ac:dyDescent="0.25">
      <c r="A24" s="63">
        <f>brackets_gross!A33</f>
        <v>88000</v>
      </c>
      <c r="B24" s="60">
        <f>taxable_old!D24</f>
        <v>81153.13</v>
      </c>
      <c r="C24" s="60">
        <f>taxable_new!D24</f>
        <v>81153.13</v>
      </c>
      <c r="D24" s="60">
        <f t="shared" si="0"/>
        <v>0</v>
      </c>
      <c r="E24" s="121">
        <f>taxable_old!I24</f>
        <v>0.28563028977272731</v>
      </c>
      <c r="F24" s="121">
        <f>taxable_new!I24</f>
        <v>0.34790657386363638</v>
      </c>
      <c r="G24" s="121">
        <f t="shared" si="1"/>
        <v>6.2276284090909073E-2</v>
      </c>
      <c r="H24" s="60">
        <f>taxable_old!H24</f>
        <v>62864.534500000002</v>
      </c>
      <c r="I24" s="60">
        <f>taxable_new!H24</f>
        <v>57384.2215</v>
      </c>
      <c r="J24" s="44">
        <f t="shared" si="2"/>
        <v>-5480.3130000000019</v>
      </c>
    </row>
    <row r="25" spans="1:10" ht="15.75" x14ac:dyDescent="0.25">
      <c r="A25" s="63">
        <f>brackets_gross!A34</f>
        <v>92000</v>
      </c>
      <c r="B25" s="60">
        <f>taxable_old!D25</f>
        <v>85047.13</v>
      </c>
      <c r="C25" s="60">
        <f>taxable_new!D25</f>
        <v>85047.13</v>
      </c>
      <c r="D25" s="60">
        <f t="shared" si="0"/>
        <v>0</v>
      </c>
      <c r="E25" s="121">
        <f>taxable_old!I25</f>
        <v>0.28917788586956522</v>
      </c>
      <c r="F25" s="121">
        <f>taxable_new!I25</f>
        <v>0.35297911413043481</v>
      </c>
      <c r="G25" s="121">
        <f t="shared" si="1"/>
        <v>6.3801228260869591E-2</v>
      </c>
      <c r="H25" s="60">
        <f>taxable_old!H25</f>
        <v>65395.6345</v>
      </c>
      <c r="I25" s="60">
        <f>taxable_new!H25</f>
        <v>59525.921499999997</v>
      </c>
      <c r="J25" s="44">
        <f t="shared" si="2"/>
        <v>-5869.7130000000034</v>
      </c>
    </row>
    <row r="26" spans="1:10" ht="15.75" x14ac:dyDescent="0.25">
      <c r="A26" s="63">
        <f>brackets_gross!A35</f>
        <v>96000</v>
      </c>
      <c r="B26" s="60">
        <f>taxable_old!D26</f>
        <v>88941.13</v>
      </c>
      <c r="C26" s="60">
        <f>taxable_new!D26</f>
        <v>88941.13</v>
      </c>
      <c r="D26" s="60">
        <f t="shared" si="0"/>
        <v>0</v>
      </c>
      <c r="E26" s="121">
        <f>taxable_old!I26</f>
        <v>0.29242984895833329</v>
      </c>
      <c r="F26" s="121">
        <f>taxable_new!I26</f>
        <v>0.3576289427083334</v>
      </c>
      <c r="G26" s="121">
        <f t="shared" si="1"/>
        <v>6.5199093750000103E-2</v>
      </c>
      <c r="H26" s="60">
        <f>taxable_old!H26</f>
        <v>67926.734500000006</v>
      </c>
      <c r="I26" s="60">
        <f>taxable_new!H26</f>
        <v>61667.621500000001</v>
      </c>
      <c r="J26" s="44">
        <f t="shared" si="2"/>
        <v>-6259.1130000000048</v>
      </c>
    </row>
    <row r="27" spans="1:10" ht="15.75" x14ac:dyDescent="0.25">
      <c r="A27" s="63">
        <f>brackets_gross!A36</f>
        <v>100000</v>
      </c>
      <c r="B27" s="60">
        <f>taxable_old!D27</f>
        <v>92835.13</v>
      </c>
      <c r="C27" s="60">
        <f>taxable_new!D27</f>
        <v>92835.13</v>
      </c>
      <c r="D27" s="60">
        <f t="shared" si="0"/>
        <v>0</v>
      </c>
      <c r="E27" s="121">
        <f>taxable_old!I27</f>
        <v>0.29542165500000001</v>
      </c>
      <c r="F27" s="121">
        <f>taxable_new!I27</f>
        <v>0.36190678500000001</v>
      </c>
      <c r="G27" s="121">
        <f t="shared" si="1"/>
        <v>6.6485130000000003E-2</v>
      </c>
      <c r="H27" s="60">
        <f>taxable_old!H27</f>
        <v>70457.834499999997</v>
      </c>
      <c r="I27" s="60">
        <f>taxable_new!H27</f>
        <v>63809.321500000005</v>
      </c>
      <c r="J27" s="44">
        <f t="shared" si="2"/>
        <v>-6648.5129999999917</v>
      </c>
    </row>
    <row r="28" spans="1:10" ht="15.75" x14ac:dyDescent="0.25">
      <c r="A28" s="63">
        <f>brackets_gross!A37</f>
        <v>104000</v>
      </c>
      <c r="B28" s="60">
        <f>taxable_old!D28</f>
        <v>96729.13</v>
      </c>
      <c r="C28" s="60">
        <f>taxable_new!D28</f>
        <v>96729.13</v>
      </c>
      <c r="D28" s="60">
        <f t="shared" si="0"/>
        <v>0</v>
      </c>
      <c r="E28" s="121">
        <f>taxable_old!I28</f>
        <v>0.29818332211538462</v>
      </c>
      <c r="F28" s="121">
        <f>taxable_new!I28</f>
        <v>0.36585556250000006</v>
      </c>
      <c r="G28" s="121">
        <f t="shared" si="1"/>
        <v>6.7672240384615445E-2</v>
      </c>
      <c r="H28" s="60">
        <f>taxable_old!H28</f>
        <v>72988.934500000003</v>
      </c>
      <c r="I28" s="60">
        <f>taxable_new!H28</f>
        <v>65951.021500000003</v>
      </c>
      <c r="J28" s="44">
        <f t="shared" si="2"/>
        <v>-7037.9130000000005</v>
      </c>
    </row>
    <row r="29" spans="1:10" ht="15.75" x14ac:dyDescent="0.25">
      <c r="A29" s="63">
        <f>brackets_gross!A38</f>
        <v>108000</v>
      </c>
      <c r="B29" s="60">
        <f>taxable_old!D29</f>
        <v>100623.13</v>
      </c>
      <c r="C29" s="60">
        <f>taxable_new!D29</f>
        <v>100623.13</v>
      </c>
      <c r="D29" s="60">
        <f t="shared" si="0"/>
        <v>0</v>
      </c>
      <c r="E29" s="121">
        <f>taxable_old!I29</f>
        <v>0.3007404212962963</v>
      </c>
      <c r="F29" s="121">
        <f>taxable_new!I29</f>
        <v>0.36951183796296294</v>
      </c>
      <c r="G29" s="121">
        <f t="shared" si="1"/>
        <v>6.877141666666664E-2</v>
      </c>
      <c r="H29" s="60">
        <f>taxable_old!H29</f>
        <v>75520.034500000009</v>
      </c>
      <c r="I29" s="60">
        <f>taxable_new!H29</f>
        <v>68092.7215</v>
      </c>
      <c r="J29" s="44">
        <f t="shared" si="2"/>
        <v>-7427.3130000000092</v>
      </c>
    </row>
    <row r="30" spans="1:10" ht="15.75" x14ac:dyDescent="0.25">
      <c r="A30" s="63">
        <f>brackets_gross!A39</f>
        <v>112000</v>
      </c>
      <c r="B30" s="60">
        <f>taxable_old!D30</f>
        <v>104517.13</v>
      </c>
      <c r="C30" s="60">
        <f>taxable_new!D30</f>
        <v>104517.13</v>
      </c>
      <c r="D30" s="60">
        <f t="shared" si="0"/>
        <v>0</v>
      </c>
      <c r="E30" s="121">
        <f>taxable_old!I30</f>
        <v>0.30311487053571429</v>
      </c>
      <c r="F30" s="121">
        <f>taxable_new!I30</f>
        <v>0.37290695089285725</v>
      </c>
      <c r="G30" s="121">
        <f t="shared" si="1"/>
        <v>6.979208035714296E-2</v>
      </c>
      <c r="H30" s="60">
        <f>taxable_old!H30</f>
        <v>78051.1345</v>
      </c>
      <c r="I30" s="60">
        <f>taxable_new!H30</f>
        <v>70234.421499999997</v>
      </c>
      <c r="J30" s="44">
        <f t="shared" si="2"/>
        <v>-7816.7130000000034</v>
      </c>
    </row>
    <row r="31" spans="1:10" ht="15.75" x14ac:dyDescent="0.25">
      <c r="A31" s="63">
        <f>brackets_gross!A40</f>
        <v>116000</v>
      </c>
      <c r="B31" s="60">
        <f>taxable_old!D31</f>
        <v>108411.13</v>
      </c>
      <c r="C31" s="60">
        <f>taxable_new!D31</f>
        <v>108411.13</v>
      </c>
      <c r="D31" s="60">
        <f t="shared" si="0"/>
        <v>0</v>
      </c>
      <c r="E31" s="121">
        <f>taxable_old!I31</f>
        <v>0.30532556465517241</v>
      </c>
      <c r="F31" s="121">
        <f>taxable_new!I31</f>
        <v>0.37606791810344831</v>
      </c>
      <c r="G31" s="121">
        <f t="shared" si="1"/>
        <v>7.0742353448275896E-2</v>
      </c>
      <c r="H31" s="60">
        <f>taxable_old!H31</f>
        <v>80582.234500000006</v>
      </c>
      <c r="I31" s="60">
        <f>taxable_new!H31</f>
        <v>72376.121500000008</v>
      </c>
      <c r="J31" s="44">
        <f t="shared" si="2"/>
        <v>-8206.1129999999976</v>
      </c>
    </row>
    <row r="32" spans="1:10" ht="15.75" x14ac:dyDescent="0.25">
      <c r="A32" s="63">
        <f>brackets_gross!A41</f>
        <v>120000</v>
      </c>
      <c r="B32" s="60">
        <f>taxable_old!D32</f>
        <v>112305.13</v>
      </c>
      <c r="C32" s="60">
        <f>taxable_new!D32</f>
        <v>112305.13</v>
      </c>
      <c r="D32" s="60">
        <f t="shared" si="0"/>
        <v>0</v>
      </c>
      <c r="E32" s="121">
        <f>taxable_old!I32</f>
        <v>0.30738887916666668</v>
      </c>
      <c r="F32" s="121">
        <f>taxable_new!I32</f>
        <v>0.37901815416666673</v>
      </c>
      <c r="G32" s="121">
        <f t="shared" si="1"/>
        <v>7.1629275000000048E-2</v>
      </c>
      <c r="H32" s="60">
        <f>taxable_old!H32</f>
        <v>83113.334499999997</v>
      </c>
      <c r="I32" s="60">
        <f>taxable_new!H32</f>
        <v>74517.821499999991</v>
      </c>
      <c r="J32" s="44">
        <f t="shared" si="2"/>
        <v>-8595.5130000000063</v>
      </c>
    </row>
    <row r="33" spans="1:10" ht="15.75" x14ac:dyDescent="0.25">
      <c r="A33" s="63">
        <f>brackets_gross!A42</f>
        <v>124000</v>
      </c>
      <c r="B33" s="60">
        <f>taxable_old!D33</f>
        <v>116199.13</v>
      </c>
      <c r="C33" s="60">
        <f>taxable_new!D33</f>
        <v>116199.13</v>
      </c>
      <c r="D33" s="60">
        <f t="shared" ref="D33:D35" si="3">C33-B33</f>
        <v>0</v>
      </c>
      <c r="E33" s="121">
        <f>taxable_old!I33</f>
        <v>0.30931907661290325</v>
      </c>
      <c r="F33" s="121">
        <f>taxable_new!I33</f>
        <v>0.38177805241935486</v>
      </c>
      <c r="G33" s="121">
        <f t="shared" ref="G33:G35" si="4">F33-E33</f>
        <v>7.2458975806451609E-2</v>
      </c>
      <c r="H33" s="60">
        <f>taxable_old!H33</f>
        <v>85644.434500000003</v>
      </c>
      <c r="I33" s="60">
        <f>taxable_new!H33</f>
        <v>76659.521500000003</v>
      </c>
      <c r="J33" s="44">
        <f t="shared" ref="J33:J35" si="5">I33-H33</f>
        <v>-8984.9130000000005</v>
      </c>
    </row>
    <row r="34" spans="1:10" ht="15.75" x14ac:dyDescent="0.25">
      <c r="A34" s="63">
        <f>brackets_gross!A43</f>
        <v>128000</v>
      </c>
      <c r="B34" s="60">
        <f>taxable_old!D34</f>
        <v>120093.13</v>
      </c>
      <c r="C34" s="60">
        <f>taxable_new!D34</f>
        <v>120093.13</v>
      </c>
      <c r="D34" s="60">
        <f t="shared" si="3"/>
        <v>0</v>
      </c>
      <c r="E34" s="121">
        <f>taxable_old!I34</f>
        <v>0.31112863671874996</v>
      </c>
      <c r="F34" s="121">
        <f>taxable_new!I34</f>
        <v>0.38436545703125008</v>
      </c>
      <c r="G34" s="121">
        <f t="shared" si="4"/>
        <v>7.3236820312500117E-2</v>
      </c>
      <c r="H34" s="60">
        <f>taxable_old!H34</f>
        <v>88175.534500000009</v>
      </c>
      <c r="I34" s="60">
        <f>taxable_new!H34</f>
        <v>78801.2215</v>
      </c>
      <c r="J34" s="44">
        <f t="shared" si="5"/>
        <v>-9374.3130000000092</v>
      </c>
    </row>
    <row r="35" spans="1:10" ht="15.75" x14ac:dyDescent="0.25">
      <c r="A35" s="63">
        <f>brackets_gross!A44</f>
        <v>132000</v>
      </c>
      <c r="B35" s="60">
        <f>taxable_old!D35</f>
        <v>123987.13</v>
      </c>
      <c r="C35" s="60">
        <f>taxable_new!D35</f>
        <v>123987.13</v>
      </c>
      <c r="D35" s="60">
        <f t="shared" si="3"/>
        <v>0</v>
      </c>
      <c r="E35" s="121">
        <f>taxable_old!I35</f>
        <v>0.31282852651515158</v>
      </c>
      <c r="F35" s="121">
        <f>taxable_new!I35</f>
        <v>0.38679604924242428</v>
      </c>
      <c r="G35" s="121">
        <f t="shared" si="4"/>
        <v>7.3967522727272694E-2</v>
      </c>
      <c r="H35" s="60">
        <f>taxable_old!H35</f>
        <v>90706.6345</v>
      </c>
      <c r="I35" s="60">
        <f>taxable_new!H35</f>
        <v>80942.921499999997</v>
      </c>
      <c r="J35" s="44">
        <f t="shared" si="5"/>
        <v>-9763.7130000000034</v>
      </c>
    </row>
    <row r="36" spans="1:10" ht="15.75" x14ac:dyDescent="0.25">
      <c r="A36" s="63">
        <f>brackets_gross!A45</f>
        <v>136000</v>
      </c>
      <c r="B36" s="60">
        <f>taxable_old!D36</f>
        <v>127881.13</v>
      </c>
      <c r="C36" s="60">
        <f>taxable_new!D36</f>
        <v>127881.13</v>
      </c>
      <c r="D36" s="60">
        <f t="shared" ref="D36:D38" si="6">C36-B36</f>
        <v>0</v>
      </c>
      <c r="E36" s="121">
        <f>taxable_old!I36</f>
        <v>0.31442842279411765</v>
      </c>
      <c r="F36" s="121">
        <f>taxable_new!I36</f>
        <v>0.38908366544117651</v>
      </c>
      <c r="G36" s="121">
        <f t="shared" ref="G36:G38" si="7">F36-E36</f>
        <v>7.4655242647058861E-2</v>
      </c>
      <c r="H36" s="60">
        <f>taxable_old!H36</f>
        <v>93237.734500000006</v>
      </c>
      <c r="I36" s="60">
        <f>taxable_new!H36</f>
        <v>83084.621500000008</v>
      </c>
      <c r="J36" s="44">
        <f t="shared" ref="J36:J38" si="8">I36-H36</f>
        <v>-10153.112999999998</v>
      </c>
    </row>
    <row r="37" spans="1:10" ht="15.75" x14ac:dyDescent="0.25">
      <c r="A37" s="63">
        <f>brackets_gross!A46</f>
        <v>140000</v>
      </c>
      <c r="B37" s="60">
        <f>taxable_old!D37</f>
        <v>131775.13</v>
      </c>
      <c r="C37" s="60">
        <f>taxable_new!D37</f>
        <v>131775.13</v>
      </c>
      <c r="D37" s="60">
        <f t="shared" si="6"/>
        <v>0</v>
      </c>
      <c r="E37" s="121">
        <f>taxable_old!I37</f>
        <v>0.31593689642857142</v>
      </c>
      <c r="F37" s="121">
        <f>taxable_new!I37</f>
        <v>0.39124056071428576</v>
      </c>
      <c r="G37" s="121">
        <f t="shared" si="7"/>
        <v>7.5303664285714333E-2</v>
      </c>
      <c r="H37" s="60">
        <f>taxable_old!H37</f>
        <v>95768.834499999997</v>
      </c>
      <c r="I37" s="60">
        <f>taxable_new!H37</f>
        <v>85226.321499999991</v>
      </c>
      <c r="J37" s="44">
        <f t="shared" si="8"/>
        <v>-10542.513000000006</v>
      </c>
    </row>
    <row r="38" spans="1:10" ht="15.75" x14ac:dyDescent="0.25">
      <c r="A38" s="63">
        <f>brackets_gross!A47</f>
        <v>0</v>
      </c>
      <c r="B38" s="60">
        <f>taxable_old!D42</f>
        <v>0</v>
      </c>
      <c r="C38" s="60">
        <f>taxable_new!D42</f>
        <v>0</v>
      </c>
      <c r="D38" s="60">
        <f t="shared" si="6"/>
        <v>0</v>
      </c>
      <c r="E38" s="121">
        <f>taxable_old!I42</f>
        <v>0</v>
      </c>
      <c r="F38" s="121">
        <f>taxable_new!I42</f>
        <v>0</v>
      </c>
      <c r="G38" s="121">
        <f t="shared" si="7"/>
        <v>0</v>
      </c>
      <c r="H38" s="60">
        <f>taxable_old!H42</f>
        <v>0</v>
      </c>
      <c r="I38" s="60">
        <f>taxable_new!H42</f>
        <v>0</v>
      </c>
      <c r="J38" s="44">
        <f t="shared" si="8"/>
        <v>0</v>
      </c>
    </row>
  </sheetData>
  <conditionalFormatting sqref="J2:J38">
    <cfRule type="cellIs" dxfId="21" priority="7" operator="greaterThan">
      <formula>0</formula>
    </cfRule>
    <cfRule type="cellIs" dxfId="20" priority="8" operator="lessThan">
      <formula>0</formula>
    </cfRule>
  </conditionalFormatting>
  <conditionalFormatting sqref="K2:M2">
    <cfRule type="cellIs" dxfId="19" priority="5" operator="greaterThan">
      <formula>0</formula>
    </cfRule>
    <cfRule type="cellIs" dxfId="18" priority="6" operator="lessThan">
      <formula>0</formula>
    </cfRule>
  </conditionalFormatting>
  <conditionalFormatting sqref="G2:G38">
    <cfRule type="cellIs" dxfId="17" priority="3" operator="greaterThan">
      <formula>0</formula>
    </cfRule>
    <cfRule type="cellIs" dxfId="16" priority="4" operator="lessThan">
      <formula>0</formula>
    </cfRule>
  </conditionalFormatting>
  <conditionalFormatting sqref="D2:D38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3CB9-1256-4561-925C-83784BF00BC2}">
  <sheetPr>
    <tabColor theme="7" tint="0.79998168889431442"/>
  </sheetPr>
  <dimension ref="A1:Y37"/>
  <sheetViews>
    <sheetView workbookViewId="0">
      <selection activeCell="O32" sqref="O32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3.140625" bestFit="1" customWidth="1"/>
    <col min="4" max="4" width="17.7109375" bestFit="1" customWidth="1"/>
    <col min="5" max="5" width="18" bestFit="1" customWidth="1"/>
    <col min="6" max="6" width="12.85546875" bestFit="1" customWidth="1"/>
    <col min="7" max="7" width="15.140625" bestFit="1" customWidth="1"/>
    <col min="8" max="8" width="17" bestFit="1" customWidth="1"/>
    <col min="9" max="9" width="11" bestFit="1" customWidth="1"/>
    <col min="10" max="10" width="11.28515625" bestFit="1" customWidth="1"/>
    <col min="11" max="12" width="10.85546875" style="11" bestFit="1" customWidth="1"/>
    <col min="13" max="13" width="12.5703125" bestFit="1" customWidth="1"/>
    <col min="14" max="14" width="11.7109375" bestFit="1" customWidth="1"/>
    <col min="15" max="15" width="16.42578125" bestFit="1" customWidth="1"/>
    <col min="16" max="16" width="11.85546875" bestFit="1" customWidth="1"/>
    <col min="17" max="17" width="9.5703125" bestFit="1" customWidth="1"/>
    <col min="18" max="18" width="14" bestFit="1" customWidth="1"/>
    <col min="19" max="19" width="12" style="11" bestFit="1" customWidth="1"/>
    <col min="20" max="20" width="12.7109375" bestFit="1" customWidth="1"/>
    <col min="21" max="21" width="10.85546875" bestFit="1" customWidth="1"/>
    <col min="22" max="23" width="12.28515625" bestFit="1" customWidth="1"/>
    <col min="24" max="24" width="12" bestFit="1" customWidth="1"/>
    <col min="25" max="25" width="16.42578125" bestFit="1" customWidth="1"/>
  </cols>
  <sheetData>
    <row r="1" spans="1:25" s="154" customFormat="1" ht="15.75" thickBot="1" x14ac:dyDescent="0.3">
      <c r="A1" s="154" t="s">
        <v>21</v>
      </c>
      <c r="B1" s="154" t="s">
        <v>22</v>
      </c>
      <c r="C1" s="154" t="s">
        <v>58</v>
      </c>
      <c r="D1" s="154" t="s">
        <v>43</v>
      </c>
      <c r="E1" s="154" t="s">
        <v>44</v>
      </c>
      <c r="F1" s="154" t="s">
        <v>41</v>
      </c>
      <c r="G1" s="154" t="s">
        <v>50</v>
      </c>
      <c r="H1" s="154" t="s">
        <v>51</v>
      </c>
      <c r="I1" s="154" t="s">
        <v>53</v>
      </c>
      <c r="J1" s="154" t="s">
        <v>54</v>
      </c>
      <c r="K1" s="154" t="s">
        <v>52</v>
      </c>
      <c r="L1" s="154" t="s">
        <v>56</v>
      </c>
      <c r="M1" s="154" t="s">
        <v>57</v>
      </c>
      <c r="N1" s="154" t="s">
        <v>59</v>
      </c>
      <c r="O1" s="154" t="s">
        <v>60</v>
      </c>
      <c r="P1" s="154" t="s">
        <v>49</v>
      </c>
      <c r="Q1" s="154" t="s">
        <v>48</v>
      </c>
      <c r="R1" s="154" t="s">
        <v>40</v>
      </c>
      <c r="S1" s="154" t="s">
        <v>53</v>
      </c>
      <c r="T1" s="154" t="s">
        <v>54</v>
      </c>
      <c r="U1" s="154" t="s">
        <v>52</v>
      </c>
      <c r="V1" s="154" t="s">
        <v>56</v>
      </c>
      <c r="W1" s="154" t="s">
        <v>57</v>
      </c>
      <c r="X1" s="154" t="s">
        <v>59</v>
      </c>
      <c r="Y1" s="154" t="s">
        <v>60</v>
      </c>
    </row>
    <row r="2" spans="1:25" x14ac:dyDescent="0.25">
      <c r="A2" s="175">
        <f>brackets_gross!A11</f>
        <v>0</v>
      </c>
      <c r="B2" s="46">
        <f t="shared" ref="B2:B27" si="0">A3</f>
        <v>4000</v>
      </c>
      <c r="C2" s="176">
        <f>AVERAGE(A2:B2)</f>
        <v>2000</v>
      </c>
      <c r="D2" s="45">
        <f>IFERROR(_xlfn.LOGNORM.DIST(A2,$B$34,$B$35,TRUE),0)</f>
        <v>0</v>
      </c>
      <c r="E2" s="45">
        <f>D2</f>
        <v>0</v>
      </c>
      <c r="F2" s="29">
        <f>output!$B$16*E2</f>
        <v>0</v>
      </c>
      <c r="G2" s="29">
        <f>A2*output!$B$13</f>
        <v>0</v>
      </c>
      <c r="H2" s="177"/>
      <c r="I2" s="177"/>
      <c r="J2" s="177"/>
      <c r="K2" s="177"/>
      <c r="L2" s="175"/>
      <c r="M2" s="175"/>
      <c r="N2" s="177">
        <f t="shared" ref="N2:N24" si="1">SUM(I2:M2)</f>
        <v>0</v>
      </c>
      <c r="O2" s="178">
        <f>N2*F2</f>
        <v>0</v>
      </c>
      <c r="P2" s="45">
        <f t="shared" ref="P2:P29" si="2">IFERROR(_xlfn.LOGNORM.DIST(A2,$C$34,$C$35,TRUE),0)</f>
        <v>0</v>
      </c>
      <c r="Q2" s="45">
        <f>P2</f>
        <v>0</v>
      </c>
      <c r="R2" s="46">
        <f>output!$B$17*Q2</f>
        <v>0</v>
      </c>
      <c r="S2" s="177"/>
      <c r="T2" s="177"/>
      <c r="U2" s="177"/>
      <c r="V2" s="177"/>
      <c r="W2" s="177"/>
      <c r="X2" s="177">
        <f>SUM(S2:W2)</f>
        <v>0</v>
      </c>
      <c r="Y2" s="46">
        <f>X2*R2</f>
        <v>0</v>
      </c>
    </row>
    <row r="3" spans="1:25" x14ac:dyDescent="0.25">
      <c r="A3" s="14">
        <f>brackets_gross!A12</f>
        <v>4000</v>
      </c>
      <c r="B3" s="44">
        <f t="shared" si="0"/>
        <v>8000</v>
      </c>
      <c r="C3" s="171">
        <f t="shared" ref="C3:C24" si="3">AVERAGE(A3:B3)</f>
        <v>6000</v>
      </c>
      <c r="D3" s="43">
        <f t="shared" ref="D3:D29" si="4">_xlfn.LOGNORM.DIST(A3,$B$34,$B$35,TRUE)</f>
        <v>1.6864672169972131E-2</v>
      </c>
      <c r="E3" s="43">
        <f t="shared" ref="E3:E24" si="5">D3-D2</f>
        <v>1.6864672169972131E-2</v>
      </c>
      <c r="F3" s="23">
        <f>output!$B$16*E3</f>
        <v>1220.1927608418237</v>
      </c>
      <c r="G3" s="23">
        <f>((A3+B3)/2)*output!$B$13</f>
        <v>3300.0000000000005</v>
      </c>
      <c r="H3" s="23">
        <f t="shared" ref="H3:H24" si="6">((A3+B3)/2)-G3</f>
        <v>2699.9999999999995</v>
      </c>
      <c r="I3" s="172">
        <f t="shared" ref="I3:I29" si="7">MIN(MAX(0,($H3-F$33)*G$34),G$35) + MIN(MAX(0,($G3-F$33)*G$34),G$35)</f>
        <v>0</v>
      </c>
      <c r="J3" s="172">
        <f t="shared" ref="J3:J29" si="8">MIN(MAX(0,($H3-G$33)*H$34),H$35) + MIN(MAX(0,($G3-G$33)*H$34),H$35)</f>
        <v>0</v>
      </c>
      <c r="K3" s="172">
        <f t="shared" ref="K3:K29" si="9">MIN(MAX(0,($H3-H$33)*I$34),I$35) + MIN(MAX(0,($G3-H$33)*I$34),I$35)</f>
        <v>0</v>
      </c>
      <c r="L3" s="172">
        <f t="shared" ref="L3:L29" si="10">MIN(MAX(0,($H3-I$33)*J$34),J$35) + MIN(MAX(0,($G3-I$33)*J$34),J$35)</f>
        <v>0</v>
      </c>
      <c r="M3" s="172">
        <f t="shared" ref="M3:M29" si="11">MIN(MAX(0,($H3-J$33)*K$34),K$35) + MIN(MAX(0,($G3-J$33)*K$34),K$35)</f>
        <v>0</v>
      </c>
      <c r="N3" s="118">
        <f t="shared" si="1"/>
        <v>0</v>
      </c>
      <c r="O3" s="123">
        <f t="shared" ref="O3:O24" si="12">N3*F3</f>
        <v>0</v>
      </c>
      <c r="P3" s="43">
        <f t="shared" si="2"/>
        <v>4.3236073827059599E-3</v>
      </c>
      <c r="Q3" s="43">
        <f>P3-P2</f>
        <v>4.3236073827059599E-3</v>
      </c>
      <c r="R3" s="44">
        <f>output!$B$17*Q3</f>
        <v>156.41082067677078</v>
      </c>
      <c r="S3" s="173">
        <f t="shared" ref="S3:S29" si="13">MIN(MAX(0,($C3-F$33)*G$34),G$35)</f>
        <v>0</v>
      </c>
      <c r="T3" s="173">
        <f t="shared" ref="T3:T29" si="14">MIN(MAX(0,($C3-G$33)*H$34),H$35)</f>
        <v>0</v>
      </c>
      <c r="U3" s="118"/>
      <c r="V3" s="118"/>
      <c r="W3" s="118"/>
      <c r="X3" s="118">
        <f t="shared" ref="X3:X24" si="15">SUM(S3:W3)</f>
        <v>0</v>
      </c>
      <c r="Y3" s="44">
        <f t="shared" ref="Y3:Y24" si="16">X3*R3</f>
        <v>0</v>
      </c>
    </row>
    <row r="4" spans="1:25" x14ac:dyDescent="0.25">
      <c r="A4" s="14">
        <f>brackets_gross!A13</f>
        <v>8000</v>
      </c>
      <c r="B4" s="44">
        <f t="shared" si="0"/>
        <v>12000</v>
      </c>
      <c r="C4" s="171">
        <f t="shared" si="3"/>
        <v>10000</v>
      </c>
      <c r="D4" s="43">
        <f t="shared" si="4"/>
        <v>9.5515339722679019E-2</v>
      </c>
      <c r="E4" s="43">
        <f t="shared" si="5"/>
        <v>7.8650667552706888E-2</v>
      </c>
      <c r="F4" s="23">
        <f>output!$B$16*E4</f>
        <v>5690.5330987734487</v>
      </c>
      <c r="G4" s="23">
        <f>((A4+B4)/2)*output!$B$13</f>
        <v>5500</v>
      </c>
      <c r="H4" s="23">
        <f t="shared" si="6"/>
        <v>4500</v>
      </c>
      <c r="I4" s="172">
        <f t="shared" si="7"/>
        <v>0</v>
      </c>
      <c r="J4" s="172">
        <f t="shared" si="8"/>
        <v>0</v>
      </c>
      <c r="K4" s="172">
        <f t="shared" si="9"/>
        <v>0</v>
      </c>
      <c r="L4" s="172">
        <f t="shared" si="10"/>
        <v>0</v>
      </c>
      <c r="M4" s="172">
        <f t="shared" si="11"/>
        <v>0</v>
      </c>
      <c r="N4" s="118">
        <f t="shared" si="1"/>
        <v>0</v>
      </c>
      <c r="O4" s="123">
        <f t="shared" si="12"/>
        <v>0</v>
      </c>
      <c r="P4" s="43">
        <f t="shared" si="2"/>
        <v>5.7289291893859819E-2</v>
      </c>
      <c r="Q4" s="43">
        <f t="shared" ref="Q4:Q24" si="17">P4-P3</f>
        <v>5.2965684511153861E-2</v>
      </c>
      <c r="R4" s="44">
        <f>output!$B$17*Q4</f>
        <v>1916.0866028755017</v>
      </c>
      <c r="S4" s="173">
        <f t="shared" si="13"/>
        <v>0</v>
      </c>
      <c r="T4" s="173">
        <f t="shared" si="14"/>
        <v>0</v>
      </c>
      <c r="U4" s="173">
        <f t="shared" ref="U4:U29" si="18">MIN(MAX(0,($C4-H$33)*I$34),I$35)</f>
        <v>0</v>
      </c>
      <c r="V4" s="173">
        <f t="shared" ref="V4:V29" si="19">MIN(MAX(0,($C4-I$33)*J$34),J$35)</f>
        <v>0</v>
      </c>
      <c r="W4" s="173">
        <f t="shared" ref="W4:W29" si="20">MIN(MAX(0,($C4-J$33)*K$34),K$35)</f>
        <v>0</v>
      </c>
      <c r="X4" s="118">
        <f t="shared" si="15"/>
        <v>0</v>
      </c>
      <c r="Y4" s="44">
        <f t="shared" si="16"/>
        <v>0</v>
      </c>
    </row>
    <row r="5" spans="1:25" x14ac:dyDescent="0.25">
      <c r="A5" s="14">
        <f>brackets_gross!A14</f>
        <v>12000</v>
      </c>
      <c r="B5" s="44">
        <f t="shared" si="0"/>
        <v>16000</v>
      </c>
      <c r="C5" s="171">
        <f t="shared" si="3"/>
        <v>14000</v>
      </c>
      <c r="D5" s="43">
        <f t="shared" si="4"/>
        <v>0.20317066825475033</v>
      </c>
      <c r="E5" s="43">
        <f t="shared" si="5"/>
        <v>0.10765532853207131</v>
      </c>
      <c r="F5" s="23">
        <f>output!$B$16*E5</f>
        <v>7789.0783299524237</v>
      </c>
      <c r="G5" s="23">
        <f>((A5+B5)/2)*output!$B$13</f>
        <v>7700.0000000000009</v>
      </c>
      <c r="H5" s="23">
        <f t="shared" si="6"/>
        <v>6299.9999999999991</v>
      </c>
      <c r="I5" s="172">
        <f t="shared" si="7"/>
        <v>0</v>
      </c>
      <c r="J5" s="172">
        <f t="shared" si="8"/>
        <v>0</v>
      </c>
      <c r="K5" s="172">
        <f t="shared" si="9"/>
        <v>0</v>
      </c>
      <c r="L5" s="172">
        <f t="shared" si="10"/>
        <v>0</v>
      </c>
      <c r="M5" s="172">
        <f t="shared" si="11"/>
        <v>0</v>
      </c>
      <c r="N5" s="118">
        <f t="shared" si="1"/>
        <v>0</v>
      </c>
      <c r="O5" s="123">
        <f t="shared" si="12"/>
        <v>0</v>
      </c>
      <c r="P5" s="43">
        <f t="shared" si="2"/>
        <v>0.16726039938286139</v>
      </c>
      <c r="Q5" s="43">
        <f t="shared" si="17"/>
        <v>0.10997110748900157</v>
      </c>
      <c r="R5" s="44">
        <f>output!$B$17*Q5</f>
        <v>3978.3147845221201</v>
      </c>
      <c r="S5" s="173">
        <f t="shared" si="13"/>
        <v>0</v>
      </c>
      <c r="T5" s="173">
        <f t="shared" si="14"/>
        <v>0</v>
      </c>
      <c r="U5" s="173">
        <f t="shared" si="18"/>
        <v>0</v>
      </c>
      <c r="V5" s="173">
        <f t="shared" si="19"/>
        <v>0</v>
      </c>
      <c r="W5" s="173">
        <f t="shared" si="20"/>
        <v>0</v>
      </c>
      <c r="X5" s="118">
        <f t="shared" si="15"/>
        <v>0</v>
      </c>
      <c r="Y5" s="44">
        <f t="shared" si="16"/>
        <v>0</v>
      </c>
    </row>
    <row r="6" spans="1:25" x14ac:dyDescent="0.25">
      <c r="A6" s="14">
        <f>brackets_gross!A15</f>
        <v>16000</v>
      </c>
      <c r="B6" s="44">
        <f t="shared" si="0"/>
        <v>20000</v>
      </c>
      <c r="C6" s="171">
        <f t="shared" si="3"/>
        <v>18000</v>
      </c>
      <c r="D6" s="43">
        <f t="shared" si="4"/>
        <v>0.31143751451543711</v>
      </c>
      <c r="E6" s="43">
        <f t="shared" si="5"/>
        <v>0.10826684626068678</v>
      </c>
      <c r="F6" s="23">
        <f>output!$B$16*E6</f>
        <v>7833.3228606532093</v>
      </c>
      <c r="G6" s="23">
        <f>((A6+B6)/2)*output!$B$13</f>
        <v>9900</v>
      </c>
      <c r="H6" s="23">
        <f t="shared" si="6"/>
        <v>8100</v>
      </c>
      <c r="I6" s="172">
        <f t="shared" si="7"/>
        <v>0</v>
      </c>
      <c r="J6" s="172">
        <f t="shared" si="8"/>
        <v>0</v>
      </c>
      <c r="K6" s="172">
        <f t="shared" si="9"/>
        <v>0</v>
      </c>
      <c r="L6" s="172">
        <f t="shared" si="10"/>
        <v>0</v>
      </c>
      <c r="M6" s="172">
        <f t="shared" si="11"/>
        <v>0</v>
      </c>
      <c r="N6" s="118">
        <f t="shared" si="1"/>
        <v>0</v>
      </c>
      <c r="O6" s="123">
        <f t="shared" si="12"/>
        <v>0</v>
      </c>
      <c r="P6" s="43">
        <f t="shared" si="2"/>
        <v>0.29798954533928396</v>
      </c>
      <c r="Q6" s="43">
        <f t="shared" si="17"/>
        <v>0.13072914595642257</v>
      </c>
      <c r="R6" s="44">
        <f>output!$B$17*Q6</f>
        <v>4729.2575841195421</v>
      </c>
      <c r="S6" s="173">
        <f t="shared" si="13"/>
        <v>0</v>
      </c>
      <c r="T6" s="173">
        <f t="shared" si="14"/>
        <v>0</v>
      </c>
      <c r="U6" s="173">
        <f t="shared" si="18"/>
        <v>0</v>
      </c>
      <c r="V6" s="173">
        <f t="shared" si="19"/>
        <v>0</v>
      </c>
      <c r="W6" s="173">
        <f t="shared" si="20"/>
        <v>0</v>
      </c>
      <c r="X6" s="118">
        <f t="shared" si="15"/>
        <v>0</v>
      </c>
      <c r="Y6" s="44">
        <f t="shared" si="16"/>
        <v>0</v>
      </c>
    </row>
    <row r="7" spans="1:25" x14ac:dyDescent="0.25">
      <c r="A7" s="14">
        <f>brackets_gross!A16</f>
        <v>20000</v>
      </c>
      <c r="B7" s="44">
        <f t="shared" si="0"/>
        <v>24000</v>
      </c>
      <c r="C7" s="171">
        <f t="shared" si="3"/>
        <v>22000</v>
      </c>
      <c r="D7" s="43">
        <f t="shared" si="4"/>
        <v>0.40937038176547325</v>
      </c>
      <c r="E7" s="43">
        <f t="shared" si="5"/>
        <v>9.7932867250036137E-2</v>
      </c>
      <c r="F7" s="23">
        <f>output!$B$16*E7</f>
        <v>7085.6388112746145</v>
      </c>
      <c r="G7" s="23">
        <f>((A7+B7)/2)*output!$B$13</f>
        <v>12100.000000000002</v>
      </c>
      <c r="H7" s="23">
        <f t="shared" si="6"/>
        <v>9899.9999999999982</v>
      </c>
      <c r="I7" s="172">
        <f t="shared" si="7"/>
        <v>0</v>
      </c>
      <c r="J7" s="172">
        <f t="shared" si="8"/>
        <v>0</v>
      </c>
      <c r="K7" s="172">
        <f t="shared" si="9"/>
        <v>0</v>
      </c>
      <c r="L7" s="172">
        <f t="shared" si="10"/>
        <v>0</v>
      </c>
      <c r="M7" s="172">
        <f t="shared" si="11"/>
        <v>0</v>
      </c>
      <c r="N7" s="118">
        <f t="shared" si="1"/>
        <v>0</v>
      </c>
      <c r="O7" s="123">
        <f t="shared" si="12"/>
        <v>0</v>
      </c>
      <c r="P7" s="43">
        <f t="shared" si="2"/>
        <v>0.42352223536727052</v>
      </c>
      <c r="Q7" s="43">
        <f t="shared" si="17"/>
        <v>0.12553269002798656</v>
      </c>
      <c r="R7" s="44">
        <f>output!$B$17*Q7</f>
        <v>4541.2705944524405</v>
      </c>
      <c r="S7" s="173">
        <f t="shared" si="13"/>
        <v>0</v>
      </c>
      <c r="T7" s="173">
        <f t="shared" si="14"/>
        <v>20.437956204379589</v>
      </c>
      <c r="U7" s="173">
        <f t="shared" si="18"/>
        <v>0</v>
      </c>
      <c r="V7" s="173">
        <f t="shared" si="19"/>
        <v>0</v>
      </c>
      <c r="W7" s="173">
        <f t="shared" si="20"/>
        <v>0</v>
      </c>
      <c r="X7" s="118">
        <f t="shared" si="15"/>
        <v>20.437956204379589</v>
      </c>
      <c r="Y7" s="44">
        <f t="shared" si="16"/>
        <v>92814.289521655839</v>
      </c>
    </row>
    <row r="8" spans="1:25" x14ac:dyDescent="0.25">
      <c r="A8" s="14">
        <f>brackets_gross!A17</f>
        <v>24000</v>
      </c>
      <c r="B8" s="44">
        <f t="shared" si="0"/>
        <v>28000</v>
      </c>
      <c r="C8" s="171">
        <f t="shared" si="3"/>
        <v>26000</v>
      </c>
      <c r="D8" s="43">
        <f t="shared" si="4"/>
        <v>0.49417848587550567</v>
      </c>
      <c r="E8" s="43">
        <f t="shared" si="5"/>
        <v>8.4808104110032423E-2</v>
      </c>
      <c r="F8" s="23">
        <f>output!$B$16*E8</f>
        <v>6136.035948569066</v>
      </c>
      <c r="G8" s="23">
        <f>((A8+B8)/2)*output!$B$13</f>
        <v>14300.000000000002</v>
      </c>
      <c r="H8" s="23">
        <f t="shared" si="6"/>
        <v>11699.999999999998</v>
      </c>
      <c r="I8" s="172">
        <f t="shared" si="7"/>
        <v>0</v>
      </c>
      <c r="J8" s="172">
        <f t="shared" si="8"/>
        <v>0</v>
      </c>
      <c r="K8" s="172">
        <f t="shared" si="9"/>
        <v>0</v>
      </c>
      <c r="L8" s="172">
        <f t="shared" si="10"/>
        <v>0</v>
      </c>
      <c r="M8" s="172">
        <f t="shared" si="11"/>
        <v>0</v>
      </c>
      <c r="N8" s="118">
        <f t="shared" si="1"/>
        <v>0</v>
      </c>
      <c r="O8" s="123">
        <f t="shared" si="12"/>
        <v>0</v>
      </c>
      <c r="P8" s="43">
        <f t="shared" si="2"/>
        <v>0.53295653977902324</v>
      </c>
      <c r="Q8" s="43">
        <f t="shared" si="17"/>
        <v>0.10943430441175273</v>
      </c>
      <c r="R8" s="44">
        <f>output!$B$17*Q8</f>
        <v>3958.8953963995659</v>
      </c>
      <c r="S8" s="173">
        <f t="shared" si="13"/>
        <v>0</v>
      </c>
      <c r="T8" s="173">
        <f t="shared" si="14"/>
        <v>820.43795620437959</v>
      </c>
      <c r="U8" s="173">
        <f t="shared" si="18"/>
        <v>0</v>
      </c>
      <c r="V8" s="173">
        <f t="shared" si="19"/>
        <v>0</v>
      </c>
      <c r="W8" s="173">
        <f t="shared" si="20"/>
        <v>0</v>
      </c>
      <c r="X8" s="118">
        <f t="shared" si="15"/>
        <v>820.43795620437959</v>
      </c>
      <c r="Y8" s="44">
        <f t="shared" si="16"/>
        <v>3248028.0478489869</v>
      </c>
    </row>
    <row r="9" spans="1:25" x14ac:dyDescent="0.25">
      <c r="A9" s="14">
        <f>brackets_gross!A18</f>
        <v>28000</v>
      </c>
      <c r="B9" s="44">
        <f t="shared" si="0"/>
        <v>32000</v>
      </c>
      <c r="C9" s="171">
        <f t="shared" si="3"/>
        <v>30000</v>
      </c>
      <c r="D9" s="43">
        <f t="shared" si="4"/>
        <v>0.56624618452750275</v>
      </c>
      <c r="E9" s="43">
        <f t="shared" si="5"/>
        <v>7.2067698651997081E-2</v>
      </c>
      <c r="F9" s="23">
        <f>output!$B$16*E9</f>
        <v>5214.2421328692926</v>
      </c>
      <c r="G9" s="23">
        <f>((A9+B9)/2)*output!$B$13</f>
        <v>16500</v>
      </c>
      <c r="H9" s="23">
        <f t="shared" si="6"/>
        <v>13500</v>
      </c>
      <c r="I9" s="172">
        <f t="shared" si="7"/>
        <v>0</v>
      </c>
      <c r="J9" s="172">
        <f t="shared" si="8"/>
        <v>0</v>
      </c>
      <c r="K9" s="172">
        <f t="shared" si="9"/>
        <v>0</v>
      </c>
      <c r="L9" s="172">
        <f t="shared" si="10"/>
        <v>0</v>
      </c>
      <c r="M9" s="172">
        <f t="shared" si="11"/>
        <v>0</v>
      </c>
      <c r="N9" s="118">
        <f t="shared" si="1"/>
        <v>0</v>
      </c>
      <c r="O9" s="123">
        <f t="shared" si="12"/>
        <v>0</v>
      </c>
      <c r="P9" s="43">
        <f t="shared" si="2"/>
        <v>0.62389098475352878</v>
      </c>
      <c r="Q9" s="43">
        <f t="shared" si="17"/>
        <v>9.0934444974505535E-2</v>
      </c>
      <c r="R9" s="44">
        <f>output!$B$17*Q9</f>
        <v>3289.6444813977114</v>
      </c>
      <c r="S9" s="173">
        <f t="shared" si="13"/>
        <v>0</v>
      </c>
      <c r="T9" s="173">
        <f t="shared" si="14"/>
        <v>1620.4379562043796</v>
      </c>
      <c r="U9" s="173">
        <f t="shared" si="18"/>
        <v>0</v>
      </c>
      <c r="V9" s="173">
        <f t="shared" si="19"/>
        <v>0</v>
      </c>
      <c r="W9" s="173">
        <f t="shared" si="20"/>
        <v>0</v>
      </c>
      <c r="X9" s="118">
        <f t="shared" si="15"/>
        <v>1620.4379562043796</v>
      </c>
      <c r="Y9" s="44">
        <f t="shared" si="16"/>
        <v>5330664.7800751235</v>
      </c>
    </row>
    <row r="10" spans="1:25" x14ac:dyDescent="0.25">
      <c r="A10" s="14">
        <f>brackets_gross!A19</f>
        <v>32000</v>
      </c>
      <c r="B10" s="44">
        <f t="shared" si="0"/>
        <v>36000</v>
      </c>
      <c r="C10" s="171">
        <f t="shared" si="3"/>
        <v>34000</v>
      </c>
      <c r="D10" s="43">
        <f t="shared" si="4"/>
        <v>0.62702212494078313</v>
      </c>
      <c r="E10" s="43">
        <f t="shared" si="5"/>
        <v>6.0775940413280383E-2</v>
      </c>
      <c r="F10" s="23">
        <f>output!$B$16*E10</f>
        <v>4397.2608407816624</v>
      </c>
      <c r="G10" s="23">
        <f>((A10+B10)/2)*output!$B$13</f>
        <v>18700</v>
      </c>
      <c r="H10" s="23">
        <f t="shared" si="6"/>
        <v>15300</v>
      </c>
      <c r="I10" s="172">
        <f t="shared" si="7"/>
        <v>0</v>
      </c>
      <c r="J10" s="172">
        <f t="shared" si="8"/>
        <v>0</v>
      </c>
      <c r="K10" s="172">
        <f t="shared" si="9"/>
        <v>0</v>
      </c>
      <c r="L10" s="172">
        <f t="shared" si="10"/>
        <v>0</v>
      </c>
      <c r="M10" s="172">
        <f t="shared" si="11"/>
        <v>0</v>
      </c>
      <c r="N10" s="122">
        <f t="shared" si="1"/>
        <v>0</v>
      </c>
      <c r="O10" s="123">
        <f t="shared" si="12"/>
        <v>0</v>
      </c>
      <c r="P10" s="43">
        <f t="shared" si="2"/>
        <v>0.69761746273079428</v>
      </c>
      <c r="Q10" s="43">
        <f t="shared" si="17"/>
        <v>7.3726477977265503E-2</v>
      </c>
      <c r="R10" s="44">
        <f>output!$B$17*Q10</f>
        <v>2667.1290673055564</v>
      </c>
      <c r="S10" s="173">
        <f t="shared" si="13"/>
        <v>0</v>
      </c>
      <c r="T10" s="173">
        <f t="shared" si="14"/>
        <v>1909.0442448062881</v>
      </c>
      <c r="U10" s="173">
        <f t="shared" si="18"/>
        <v>639.24213924761443</v>
      </c>
      <c r="V10" s="173">
        <f t="shared" si="19"/>
        <v>0</v>
      </c>
      <c r="W10" s="173">
        <f t="shared" si="20"/>
        <v>0</v>
      </c>
      <c r="X10" s="118">
        <f t="shared" si="15"/>
        <v>2548.2863840539026</v>
      </c>
      <c r="Y10" s="44">
        <f t="shared" si="16"/>
        <v>6796608.6867291341</v>
      </c>
    </row>
    <row r="11" spans="1:25" x14ac:dyDescent="0.25">
      <c r="A11" s="14">
        <f>brackets_gross!A20</f>
        <v>36000</v>
      </c>
      <c r="B11" s="44">
        <f t="shared" si="0"/>
        <v>40000</v>
      </c>
      <c r="C11" s="171">
        <f t="shared" si="3"/>
        <v>38000</v>
      </c>
      <c r="D11" s="43">
        <f t="shared" si="4"/>
        <v>0.67817229661770662</v>
      </c>
      <c r="E11" s="43">
        <f t="shared" si="5"/>
        <v>5.1150171676923484E-2</v>
      </c>
      <c r="F11" s="23">
        <f>output!$B$16*E11</f>
        <v>3700.8172211687679</v>
      </c>
      <c r="G11" s="23">
        <f>((A11+B11)/2)*output!$B$13</f>
        <v>20900</v>
      </c>
      <c r="H11" s="23">
        <f t="shared" si="6"/>
        <v>17100</v>
      </c>
      <c r="I11" s="172">
        <f t="shared" si="7"/>
        <v>0</v>
      </c>
      <c r="J11" s="172">
        <f t="shared" si="8"/>
        <v>0</v>
      </c>
      <c r="K11" s="172">
        <f t="shared" si="9"/>
        <v>0</v>
      </c>
      <c r="L11" s="172">
        <f t="shared" si="10"/>
        <v>0</v>
      </c>
      <c r="M11" s="172">
        <f t="shared" si="11"/>
        <v>0</v>
      </c>
      <c r="N11" s="122">
        <f t="shared" si="1"/>
        <v>0</v>
      </c>
      <c r="O11" s="123">
        <f t="shared" si="12"/>
        <v>0</v>
      </c>
      <c r="P11" s="43">
        <f t="shared" si="2"/>
        <v>0.75666018056121909</v>
      </c>
      <c r="Q11" s="43">
        <f t="shared" si="17"/>
        <v>5.9042717830424807E-2</v>
      </c>
      <c r="R11" s="44">
        <f>output!$B$17*Q11</f>
        <v>2135.9293602334474</v>
      </c>
      <c r="S11" s="173">
        <f t="shared" si="13"/>
        <v>0</v>
      </c>
      <c r="T11" s="173">
        <f t="shared" si="14"/>
        <v>1909.0442448062881</v>
      </c>
      <c r="U11" s="173">
        <f t="shared" si="18"/>
        <v>1639.2421392476144</v>
      </c>
      <c r="V11" s="173">
        <f t="shared" si="19"/>
        <v>0</v>
      </c>
      <c r="W11" s="173">
        <f t="shared" si="20"/>
        <v>0</v>
      </c>
      <c r="X11" s="118">
        <f t="shared" si="15"/>
        <v>3548.2863840539026</v>
      </c>
      <c r="Y11" s="44">
        <f t="shared" si="16"/>
        <v>7578889.0662173042</v>
      </c>
    </row>
    <row r="12" spans="1:25" x14ac:dyDescent="0.25">
      <c r="A12" s="14">
        <f>brackets_gross!A21</f>
        <v>40000</v>
      </c>
      <c r="B12" s="44">
        <f t="shared" si="0"/>
        <v>44000</v>
      </c>
      <c r="C12" s="171">
        <f t="shared" si="3"/>
        <v>42000</v>
      </c>
      <c r="D12" s="43">
        <f t="shared" si="4"/>
        <v>0.72126095319082129</v>
      </c>
      <c r="E12" s="43">
        <f t="shared" si="5"/>
        <v>4.308865657311467E-2</v>
      </c>
      <c r="F12" s="23">
        <f>output!$B$16*E12</f>
        <v>3117.5504803779927</v>
      </c>
      <c r="G12" s="23">
        <f>((A12+B12)/2)*output!$B$13</f>
        <v>23100.000000000004</v>
      </c>
      <c r="H12" s="23">
        <f t="shared" si="6"/>
        <v>18899.999999999996</v>
      </c>
      <c r="I12" s="172">
        <f t="shared" si="7"/>
        <v>0</v>
      </c>
      <c r="J12" s="172">
        <f t="shared" si="8"/>
        <v>240.43795620438033</v>
      </c>
      <c r="K12" s="172">
        <f t="shared" si="9"/>
        <v>0</v>
      </c>
      <c r="L12" s="172">
        <f t="shared" si="10"/>
        <v>0</v>
      </c>
      <c r="M12" s="172">
        <f t="shared" si="11"/>
        <v>0</v>
      </c>
      <c r="N12" s="122">
        <f t="shared" si="1"/>
        <v>240.43795620438033</v>
      </c>
      <c r="O12" s="123">
        <f t="shared" si="12"/>
        <v>749577.46586606861</v>
      </c>
      <c r="P12" s="43">
        <f t="shared" si="2"/>
        <v>0.80368597546716247</v>
      </c>
      <c r="Q12" s="43">
        <f t="shared" si="17"/>
        <v>4.7025794905943386E-2</v>
      </c>
      <c r="R12" s="44">
        <f>output!$B$17*Q12</f>
        <v>1701.2051565174077</v>
      </c>
      <c r="S12" s="173">
        <f t="shared" si="13"/>
        <v>0</v>
      </c>
      <c r="T12" s="173">
        <f t="shared" si="14"/>
        <v>1909.0442448062881</v>
      </c>
      <c r="U12" s="173">
        <f t="shared" si="18"/>
        <v>2330.1539865298992</v>
      </c>
      <c r="V12" s="173">
        <f t="shared" si="19"/>
        <v>370.90578326125831</v>
      </c>
      <c r="W12" s="173">
        <f t="shared" si="20"/>
        <v>0</v>
      </c>
      <c r="X12" s="118">
        <f t="shared" si="15"/>
        <v>4610.1040145974457</v>
      </c>
      <c r="Y12" s="44">
        <f t="shared" si="16"/>
        <v>7842732.7217147769</v>
      </c>
    </row>
    <row r="13" spans="1:25" x14ac:dyDescent="0.25">
      <c r="A13" s="14">
        <f>brackets_gross!A22</f>
        <v>44000</v>
      </c>
      <c r="B13" s="44">
        <f t="shared" si="0"/>
        <v>48000</v>
      </c>
      <c r="C13" s="171">
        <f t="shared" si="3"/>
        <v>46000</v>
      </c>
      <c r="D13" s="43">
        <f t="shared" si="4"/>
        <v>0.75764925869542943</v>
      </c>
      <c r="E13" s="43">
        <f t="shared" si="5"/>
        <v>3.6388305504608143E-2</v>
      </c>
      <c r="F13" s="23">
        <f>output!$B$16*E13</f>
        <v>2632.7666798694086</v>
      </c>
      <c r="G13" s="23">
        <f>((A13+B13)/2)*output!$B$13</f>
        <v>25300.000000000004</v>
      </c>
      <c r="H13" s="23">
        <f t="shared" si="6"/>
        <v>20699.999999999996</v>
      </c>
      <c r="I13" s="172">
        <f t="shared" si="7"/>
        <v>0</v>
      </c>
      <c r="J13" s="172">
        <f t="shared" si="8"/>
        <v>680.43795620438038</v>
      </c>
      <c r="K13" s="172">
        <f t="shared" si="9"/>
        <v>0</v>
      </c>
      <c r="L13" s="172">
        <f t="shared" si="10"/>
        <v>0</v>
      </c>
      <c r="M13" s="172">
        <f t="shared" si="11"/>
        <v>0</v>
      </c>
      <c r="N13" s="122">
        <f t="shared" si="1"/>
        <v>680.43795620438038</v>
      </c>
      <c r="O13" s="123">
        <f t="shared" si="12"/>
        <v>1791434.3788133326</v>
      </c>
      <c r="P13" s="43">
        <f t="shared" si="2"/>
        <v>0.84108586349787673</v>
      </c>
      <c r="Q13" s="43">
        <f t="shared" si="17"/>
        <v>3.7399888030714257E-2</v>
      </c>
      <c r="R13" s="44">
        <f>output!$B$17*Q13</f>
        <v>1352.9783493991188</v>
      </c>
      <c r="S13" s="173">
        <f t="shared" si="13"/>
        <v>0</v>
      </c>
      <c r="T13" s="173">
        <f t="shared" si="14"/>
        <v>1909.0442448062881</v>
      </c>
      <c r="U13" s="173">
        <f t="shared" si="18"/>
        <v>2330.1539865298992</v>
      </c>
      <c r="V13" s="173">
        <f t="shared" si="19"/>
        <v>1570.9057832612582</v>
      </c>
      <c r="W13" s="173">
        <f t="shared" si="20"/>
        <v>0</v>
      </c>
      <c r="X13" s="118">
        <f t="shared" si="15"/>
        <v>5810.1040145974457</v>
      </c>
      <c r="Y13" s="44">
        <f t="shared" si="16"/>
        <v>7860944.939507246</v>
      </c>
    </row>
    <row r="14" spans="1:25" x14ac:dyDescent="0.25">
      <c r="A14" s="14">
        <f>brackets_gross!A23</f>
        <v>48000</v>
      </c>
      <c r="B14" s="44">
        <f t="shared" si="0"/>
        <v>52000</v>
      </c>
      <c r="C14" s="171">
        <f t="shared" si="3"/>
        <v>50000</v>
      </c>
      <c r="D14" s="43">
        <f t="shared" si="4"/>
        <v>0.78848149906670617</v>
      </c>
      <c r="E14" s="43">
        <f t="shared" si="5"/>
        <v>3.0832240371276742E-2</v>
      </c>
      <c r="F14" s="23">
        <f>output!$B$16*E14</f>
        <v>2230.7742553426147</v>
      </c>
      <c r="G14" s="23">
        <f>((A14+B14)/2)*output!$B$13</f>
        <v>27500.000000000004</v>
      </c>
      <c r="H14" s="23">
        <f t="shared" si="6"/>
        <v>22499.999999999996</v>
      </c>
      <c r="I14" s="172">
        <f t="shared" si="7"/>
        <v>0</v>
      </c>
      <c r="J14" s="172">
        <f t="shared" si="8"/>
        <v>1240.8759124087592</v>
      </c>
      <c r="K14" s="172">
        <f t="shared" si="9"/>
        <v>0</v>
      </c>
      <c r="L14" s="172">
        <f t="shared" si="10"/>
        <v>0</v>
      </c>
      <c r="M14" s="172">
        <f t="shared" si="11"/>
        <v>0</v>
      </c>
      <c r="N14" s="122">
        <f t="shared" si="1"/>
        <v>1240.8759124087592</v>
      </c>
      <c r="O14" s="123">
        <f t="shared" si="12"/>
        <v>2768114.0394762373</v>
      </c>
      <c r="P14" s="43">
        <f t="shared" si="2"/>
        <v>0.8708579151351048</v>
      </c>
      <c r="Q14" s="43">
        <f t="shared" si="17"/>
        <v>2.977205163722807E-2</v>
      </c>
      <c r="R14" s="44">
        <f>output!$B$17*Q14</f>
        <v>1077.0337400283624</v>
      </c>
      <c r="S14" s="173">
        <f t="shared" si="13"/>
        <v>0</v>
      </c>
      <c r="T14" s="173">
        <f t="shared" si="14"/>
        <v>1909.0442448062881</v>
      </c>
      <c r="U14" s="173">
        <f t="shared" si="18"/>
        <v>2330.1539865298992</v>
      </c>
      <c r="V14" s="173">
        <f t="shared" si="19"/>
        <v>2770.9057832612584</v>
      </c>
      <c r="W14" s="173">
        <f t="shared" si="20"/>
        <v>0</v>
      </c>
      <c r="X14" s="118">
        <f t="shared" si="15"/>
        <v>7010.1040145974457</v>
      </c>
      <c r="Y14" s="44">
        <f t="shared" si="16"/>
        <v>7550118.5448297253</v>
      </c>
    </row>
    <row r="15" spans="1:25" x14ac:dyDescent="0.25">
      <c r="A15" s="14">
        <f>brackets_gross!A24</f>
        <v>52000</v>
      </c>
      <c r="B15" s="44">
        <f t="shared" si="0"/>
        <v>56000</v>
      </c>
      <c r="C15" s="171">
        <f t="shared" si="3"/>
        <v>54000</v>
      </c>
      <c r="D15" s="43">
        <f t="shared" si="4"/>
        <v>0.81470393705741251</v>
      </c>
      <c r="E15" s="43">
        <f t="shared" si="5"/>
        <v>2.6222437990706338E-2</v>
      </c>
      <c r="F15" s="23">
        <f>output!$B$16*E15</f>
        <v>1897.2458335035849</v>
      </c>
      <c r="G15" s="23">
        <f>((A15+B15)/2)*output!$B$13</f>
        <v>29700.000000000004</v>
      </c>
      <c r="H15" s="23">
        <f t="shared" si="6"/>
        <v>24299.999999999996</v>
      </c>
      <c r="I15" s="172">
        <f t="shared" si="7"/>
        <v>0</v>
      </c>
      <c r="J15" s="172">
        <f t="shared" si="8"/>
        <v>2040.8759124087594</v>
      </c>
      <c r="K15" s="172">
        <f t="shared" si="9"/>
        <v>0</v>
      </c>
      <c r="L15" s="172">
        <f t="shared" si="10"/>
        <v>0</v>
      </c>
      <c r="M15" s="172">
        <f t="shared" si="11"/>
        <v>0</v>
      </c>
      <c r="N15" s="122">
        <f t="shared" si="1"/>
        <v>2040.8759124087594</v>
      </c>
      <c r="O15" s="123">
        <f t="shared" si="12"/>
        <v>3872043.3215153459</v>
      </c>
      <c r="P15" s="43">
        <f t="shared" si="2"/>
        <v>0.89461434975318121</v>
      </c>
      <c r="Q15" s="43">
        <f t="shared" si="17"/>
        <v>2.3756434618076416E-2</v>
      </c>
      <c r="R15" s="44">
        <f>output!$B$17*Q15</f>
        <v>859.41277874353227</v>
      </c>
      <c r="S15" s="173">
        <f t="shared" si="13"/>
        <v>0</v>
      </c>
      <c r="T15" s="173">
        <f t="shared" si="14"/>
        <v>1909.0442448062881</v>
      </c>
      <c r="U15" s="173">
        <f t="shared" si="18"/>
        <v>2330.1539865298992</v>
      </c>
      <c r="V15" s="173">
        <f t="shared" si="19"/>
        <v>3970.905783261258</v>
      </c>
      <c r="W15" s="173">
        <f t="shared" si="20"/>
        <v>0</v>
      </c>
      <c r="X15" s="118">
        <f t="shared" si="15"/>
        <v>8210.1040145974457</v>
      </c>
      <c r="Y15" s="44">
        <f t="shared" si="16"/>
        <v>7055868.304958621</v>
      </c>
    </row>
    <row r="16" spans="1:25" x14ac:dyDescent="0.25">
      <c r="A16" s="14">
        <f>brackets_gross!A25</f>
        <v>56000</v>
      </c>
      <c r="B16" s="44">
        <f t="shared" si="0"/>
        <v>60000</v>
      </c>
      <c r="C16" s="171">
        <f t="shared" si="3"/>
        <v>58000</v>
      </c>
      <c r="D16" s="43">
        <f t="shared" si="4"/>
        <v>0.83709328130539229</v>
      </c>
      <c r="E16" s="43">
        <f t="shared" si="5"/>
        <v>2.2389344247979781E-2</v>
      </c>
      <c r="F16" s="23">
        <f>output!$B$16*E16</f>
        <v>1619.9138350298331</v>
      </c>
      <c r="G16" s="23">
        <f>((A16+B16)/2)*output!$B$13</f>
        <v>31900.000000000004</v>
      </c>
      <c r="H16" s="23">
        <f t="shared" si="6"/>
        <v>26099.999999999996</v>
      </c>
      <c r="I16" s="172">
        <f t="shared" si="7"/>
        <v>0</v>
      </c>
      <c r="J16" s="172">
        <f t="shared" si="8"/>
        <v>2749.4822010106673</v>
      </c>
      <c r="K16" s="172">
        <f t="shared" si="9"/>
        <v>114.24213924761534</v>
      </c>
      <c r="L16" s="172">
        <f t="shared" si="10"/>
        <v>0</v>
      </c>
      <c r="M16" s="172">
        <f t="shared" si="11"/>
        <v>0</v>
      </c>
      <c r="N16" s="122">
        <f t="shared" si="1"/>
        <v>2863.7243402582826</v>
      </c>
      <c r="O16" s="123">
        <f t="shared" si="12"/>
        <v>4638986.678496073</v>
      </c>
      <c r="P16" s="43">
        <f t="shared" si="2"/>
        <v>0.9136324669428183</v>
      </c>
      <c r="Q16" s="43">
        <f t="shared" si="17"/>
        <v>1.9018117189637085E-2</v>
      </c>
      <c r="R16" s="44">
        <f>output!$B$17*Q16</f>
        <v>687.99940745231106</v>
      </c>
      <c r="S16" s="173">
        <f t="shared" si="13"/>
        <v>0</v>
      </c>
      <c r="T16" s="173">
        <f t="shared" si="14"/>
        <v>1909.0442448062881</v>
      </c>
      <c r="U16" s="173">
        <f t="shared" si="18"/>
        <v>2330.1539865298992</v>
      </c>
      <c r="V16" s="173">
        <f t="shared" si="19"/>
        <v>5170.905783261258</v>
      </c>
      <c r="W16" s="173">
        <f t="shared" si="20"/>
        <v>0</v>
      </c>
      <c r="X16" s="118">
        <f t="shared" si="15"/>
        <v>9410.1040145974457</v>
      </c>
      <c r="Y16" s="44">
        <f t="shared" si="16"/>
        <v>6474145.9861076558</v>
      </c>
    </row>
    <row r="17" spans="1:25" x14ac:dyDescent="0.25">
      <c r="A17" s="14">
        <f>brackets_gross!A26</f>
        <v>60000</v>
      </c>
      <c r="B17" s="44">
        <f t="shared" si="0"/>
        <v>64000</v>
      </c>
      <c r="C17" s="171">
        <f t="shared" si="3"/>
        <v>62000</v>
      </c>
      <c r="D17" s="43">
        <f t="shared" si="4"/>
        <v>0.85628544918873328</v>
      </c>
      <c r="E17" s="43">
        <f t="shared" si="5"/>
        <v>1.9192167883340994E-2</v>
      </c>
      <c r="F17" s="23">
        <f>output!$B$16*E17</f>
        <v>1388.5917306954875</v>
      </c>
      <c r="G17" s="23">
        <f>((A17+B17)/2)*output!$B$13</f>
        <v>34100</v>
      </c>
      <c r="H17" s="23">
        <f t="shared" si="6"/>
        <v>27900</v>
      </c>
      <c r="I17" s="172">
        <f t="shared" si="7"/>
        <v>0</v>
      </c>
      <c r="J17" s="172">
        <f t="shared" si="8"/>
        <v>3109.4822010106677</v>
      </c>
      <c r="K17" s="172">
        <f t="shared" si="9"/>
        <v>664.24213924761443</v>
      </c>
      <c r="L17" s="172">
        <f t="shared" si="10"/>
        <v>0</v>
      </c>
      <c r="M17" s="172">
        <f t="shared" si="11"/>
        <v>0</v>
      </c>
      <c r="N17" s="122">
        <f t="shared" si="1"/>
        <v>3773.7243402582822</v>
      </c>
      <c r="O17" s="123">
        <f t="shared" si="12"/>
        <v>5240162.4128069347</v>
      </c>
      <c r="P17" s="43">
        <f t="shared" si="2"/>
        <v>0.92891483621211746</v>
      </c>
      <c r="Q17" s="43">
        <f t="shared" si="17"/>
        <v>1.5282369269299156E-2</v>
      </c>
      <c r="R17" s="44">
        <f>output!$B$17*Q17</f>
        <v>552.85499068616616</v>
      </c>
      <c r="S17" s="173">
        <f t="shared" si="13"/>
        <v>0</v>
      </c>
      <c r="T17" s="173">
        <f t="shared" si="14"/>
        <v>1909.0442448062881</v>
      </c>
      <c r="U17" s="173">
        <f t="shared" si="18"/>
        <v>2330.1539865298992</v>
      </c>
      <c r="V17" s="173">
        <f t="shared" si="19"/>
        <v>6370.905783261258</v>
      </c>
      <c r="W17" s="173">
        <f t="shared" si="20"/>
        <v>0</v>
      </c>
      <c r="X17" s="118">
        <f t="shared" si="15"/>
        <v>10610.104014597446</v>
      </c>
      <c r="Y17" s="44">
        <f t="shared" si="16"/>
        <v>5865848.9561695252</v>
      </c>
    </row>
    <row r="18" spans="1:25" x14ac:dyDescent="0.25">
      <c r="A18" s="14">
        <f>brackets_gross!A27</f>
        <v>64000</v>
      </c>
      <c r="B18" s="44">
        <f t="shared" si="0"/>
        <v>68000</v>
      </c>
      <c r="C18" s="171">
        <f t="shared" si="3"/>
        <v>66000</v>
      </c>
      <c r="D18" s="43">
        <f t="shared" si="4"/>
        <v>0.87280121952850531</v>
      </c>
      <c r="E18" s="43">
        <f t="shared" si="5"/>
        <v>1.6515770339772029E-2</v>
      </c>
      <c r="F18" s="23">
        <f>output!$B$16*E18</f>
        <v>1194.9490156231859</v>
      </c>
      <c r="G18" s="23">
        <f>((A18+B18)/2)*output!$B$13</f>
        <v>36300</v>
      </c>
      <c r="H18" s="23">
        <f t="shared" si="6"/>
        <v>29700</v>
      </c>
      <c r="I18" s="172">
        <f t="shared" si="7"/>
        <v>0</v>
      </c>
      <c r="J18" s="172">
        <f t="shared" si="8"/>
        <v>3469.4822010106677</v>
      </c>
      <c r="K18" s="172">
        <f t="shared" si="9"/>
        <v>1214.2421392476144</v>
      </c>
      <c r="L18" s="172">
        <f t="shared" si="10"/>
        <v>0</v>
      </c>
      <c r="M18" s="172">
        <f t="shared" si="11"/>
        <v>0</v>
      </c>
      <c r="N18" s="122">
        <f t="shared" si="1"/>
        <v>4683.7243402582826</v>
      </c>
      <c r="O18" s="123">
        <f t="shared" si="12"/>
        <v>5596811.7898419909</v>
      </c>
      <c r="P18" s="43">
        <f t="shared" si="2"/>
        <v>0.94124514281637706</v>
      </c>
      <c r="Q18" s="43">
        <f t="shared" si="17"/>
        <v>1.23303066042596E-2</v>
      </c>
      <c r="R18" s="44">
        <f>output!$B$17*Q18</f>
        <v>446.0611717156952</v>
      </c>
      <c r="S18" s="173">
        <f t="shared" si="13"/>
        <v>0</v>
      </c>
      <c r="T18" s="173">
        <f t="shared" si="14"/>
        <v>1909.0442448062881</v>
      </c>
      <c r="U18" s="173">
        <f t="shared" si="18"/>
        <v>2330.1539865298992</v>
      </c>
      <c r="V18" s="173">
        <f t="shared" si="19"/>
        <v>7570.905783261258</v>
      </c>
      <c r="W18" s="173">
        <f t="shared" si="20"/>
        <v>0</v>
      </c>
      <c r="X18" s="118">
        <f t="shared" si="15"/>
        <v>11810.104014597446</v>
      </c>
      <c r="Y18" s="44">
        <f t="shared" si="16"/>
        <v>5268028.8348355722</v>
      </c>
    </row>
    <row r="19" spans="1:25" x14ac:dyDescent="0.25">
      <c r="A19" s="14">
        <f>brackets_gross!A28</f>
        <v>68000</v>
      </c>
      <c r="B19" s="44">
        <f t="shared" si="0"/>
        <v>72000</v>
      </c>
      <c r="C19" s="171">
        <f t="shared" si="3"/>
        <v>70000</v>
      </c>
      <c r="D19" s="43">
        <f t="shared" si="4"/>
        <v>0.88706788687418214</v>
      </c>
      <c r="E19" s="43">
        <f t="shared" si="5"/>
        <v>1.4266667345676831E-2</v>
      </c>
      <c r="F19" s="23">
        <f>output!$B$16*E19</f>
        <v>1032.2219157944101</v>
      </c>
      <c r="G19" s="23">
        <f>((A19+B19)/2)*output!$B$13</f>
        <v>38500</v>
      </c>
      <c r="H19" s="23">
        <f t="shared" si="6"/>
        <v>31500</v>
      </c>
      <c r="I19" s="172">
        <f t="shared" si="7"/>
        <v>0</v>
      </c>
      <c r="J19" s="172">
        <f t="shared" si="8"/>
        <v>3818.0884896125763</v>
      </c>
      <c r="K19" s="172">
        <f t="shared" si="9"/>
        <v>1778.4842784952289</v>
      </c>
      <c r="L19" s="172">
        <f t="shared" si="10"/>
        <v>0</v>
      </c>
      <c r="M19" s="172">
        <f t="shared" si="11"/>
        <v>0</v>
      </c>
      <c r="N19" s="122">
        <f t="shared" si="1"/>
        <v>5596.5727681078051</v>
      </c>
      <c r="O19" s="123">
        <f t="shared" si="12"/>
        <v>5776905.0645790631</v>
      </c>
      <c r="P19" s="43">
        <f t="shared" si="2"/>
        <v>0.9512353696817234</v>
      </c>
      <c r="Q19" s="43">
        <f t="shared" si="17"/>
        <v>9.9902268653463411E-3</v>
      </c>
      <c r="R19" s="44">
        <f>output!$B$17*Q19</f>
        <v>361.40644708076917</v>
      </c>
      <c r="S19" s="173">
        <f t="shared" si="13"/>
        <v>0</v>
      </c>
      <c r="T19" s="173">
        <f t="shared" si="14"/>
        <v>1909.0442448062881</v>
      </c>
      <c r="U19" s="173">
        <f t="shared" si="18"/>
        <v>2330.1539865298992</v>
      </c>
      <c r="V19" s="173">
        <f t="shared" si="19"/>
        <v>7652.2328402806679</v>
      </c>
      <c r="W19" s="173">
        <f t="shared" si="20"/>
        <v>1305.1184334773548</v>
      </c>
      <c r="X19" s="118">
        <f t="shared" si="15"/>
        <v>13196.54950509421</v>
      </c>
      <c r="Y19" s="44">
        <f t="shared" si="16"/>
        <v>4769318.0703615807</v>
      </c>
    </row>
    <row r="20" spans="1:25" x14ac:dyDescent="0.25">
      <c r="A20" s="14">
        <f>brackets_gross!A29</f>
        <v>72000</v>
      </c>
      <c r="B20" s="44">
        <f t="shared" si="0"/>
        <v>76000</v>
      </c>
      <c r="C20" s="171">
        <f t="shared" si="3"/>
        <v>74000</v>
      </c>
      <c r="D20" s="43">
        <f t="shared" si="4"/>
        <v>0.89943704587638096</v>
      </c>
      <c r="E20" s="43">
        <f t="shared" si="5"/>
        <v>1.2369159002198815E-2</v>
      </c>
      <c r="F20" s="23">
        <f>output!$B$16*E20</f>
        <v>894.93339212708872</v>
      </c>
      <c r="G20" s="23">
        <f>((A20+B20)/2)*output!$B$13</f>
        <v>40700</v>
      </c>
      <c r="H20" s="23">
        <f t="shared" si="6"/>
        <v>33300</v>
      </c>
      <c r="I20" s="172">
        <f t="shared" si="7"/>
        <v>0</v>
      </c>
      <c r="J20" s="172">
        <f t="shared" si="8"/>
        <v>3818.0884896125763</v>
      </c>
      <c r="K20" s="172">
        <f t="shared" si="9"/>
        <v>2778.4842784952289</v>
      </c>
      <c r="L20" s="172">
        <f t="shared" si="10"/>
        <v>0</v>
      </c>
      <c r="M20" s="172">
        <f t="shared" si="11"/>
        <v>0</v>
      </c>
      <c r="N20" s="122">
        <f t="shared" si="1"/>
        <v>6596.5727681078051</v>
      </c>
      <c r="O20" s="123">
        <f t="shared" si="12"/>
        <v>5903493.2437758977</v>
      </c>
      <c r="P20" s="43">
        <f t="shared" si="2"/>
        <v>0.95936388163194397</v>
      </c>
      <c r="Q20" s="43">
        <f t="shared" si="17"/>
        <v>8.1285119502205738E-3</v>
      </c>
      <c r="R20" s="44">
        <f>output!$B$17*Q20</f>
        <v>294.05704831117941</v>
      </c>
      <c r="S20" s="173">
        <f t="shared" si="13"/>
        <v>0</v>
      </c>
      <c r="T20" s="173">
        <f t="shared" si="14"/>
        <v>1909.0442448062881</v>
      </c>
      <c r="U20" s="173">
        <f t="shared" si="18"/>
        <v>2330.1539865298992</v>
      </c>
      <c r="V20" s="173">
        <f t="shared" si="19"/>
        <v>7652.2328402806679</v>
      </c>
      <c r="W20" s="173">
        <f t="shared" si="20"/>
        <v>2705.1184334773548</v>
      </c>
      <c r="X20" s="118">
        <f t="shared" si="15"/>
        <v>14596.54950509421</v>
      </c>
      <c r="Y20" s="44">
        <f t="shared" si="16"/>
        <v>4292218.2629960105</v>
      </c>
    </row>
    <row r="21" spans="1:25" x14ac:dyDescent="0.25">
      <c r="A21" s="14">
        <f>brackets_gross!A30</f>
        <v>76000</v>
      </c>
      <c r="B21" s="44">
        <f t="shared" si="0"/>
        <v>80000</v>
      </c>
      <c r="C21" s="171">
        <f t="shared" si="3"/>
        <v>78000</v>
      </c>
      <c r="D21" s="43">
        <f t="shared" si="4"/>
        <v>0.91019899259070169</v>
      </c>
      <c r="E21" s="43">
        <f t="shared" si="5"/>
        <v>1.0761946714320736E-2</v>
      </c>
      <c r="F21" s="23">
        <f>output!$B$16*E21</f>
        <v>778.64836867453391</v>
      </c>
      <c r="G21" s="23">
        <f>((A21+B21)/2)*output!$B$13</f>
        <v>42900</v>
      </c>
      <c r="H21" s="23">
        <f t="shared" si="6"/>
        <v>35100</v>
      </c>
      <c r="I21" s="172">
        <f t="shared" si="7"/>
        <v>0</v>
      </c>
      <c r="J21" s="172">
        <f t="shared" si="8"/>
        <v>3818.0884896125763</v>
      </c>
      <c r="K21" s="172">
        <f t="shared" si="9"/>
        <v>3244.3961257775136</v>
      </c>
      <c r="L21" s="172">
        <f t="shared" si="10"/>
        <v>640.90578326125831</v>
      </c>
      <c r="M21" s="172">
        <f t="shared" si="11"/>
        <v>0</v>
      </c>
      <c r="N21" s="122">
        <f t="shared" si="1"/>
        <v>7703.3903986513478</v>
      </c>
      <c r="O21" s="123">
        <f t="shared" si="12"/>
        <v>5998232.3671729397</v>
      </c>
      <c r="P21" s="43">
        <f t="shared" si="2"/>
        <v>0.96600542828303704</v>
      </c>
      <c r="Q21" s="43">
        <f t="shared" si="17"/>
        <v>6.6415466510930665E-3</v>
      </c>
      <c r="R21" s="44">
        <f>output!$B$17*Q21</f>
        <v>240.26459164994273</v>
      </c>
      <c r="S21" s="173">
        <f t="shared" si="13"/>
        <v>0</v>
      </c>
      <c r="T21" s="173">
        <f t="shared" si="14"/>
        <v>1909.0442448062881</v>
      </c>
      <c r="U21" s="173">
        <f t="shared" si="18"/>
        <v>2330.1539865298992</v>
      </c>
      <c r="V21" s="173">
        <f t="shared" si="19"/>
        <v>7652.2328402806679</v>
      </c>
      <c r="W21" s="173">
        <f t="shared" si="20"/>
        <v>4105.1184334773543</v>
      </c>
      <c r="X21" s="118">
        <f t="shared" si="15"/>
        <v>15996.549505094208</v>
      </c>
      <c r="Y21" s="44">
        <f t="shared" si="16"/>
        <v>3843404.4346495536</v>
      </c>
    </row>
    <row r="22" spans="1:25" x14ac:dyDescent="0.25">
      <c r="A22" s="14">
        <f>brackets_gross!A31</f>
        <v>80000</v>
      </c>
      <c r="B22" s="44">
        <f t="shared" si="0"/>
        <v>84000</v>
      </c>
      <c r="C22" s="171">
        <f t="shared" si="3"/>
        <v>82000</v>
      </c>
      <c r="D22" s="43">
        <f t="shared" si="4"/>
        <v>0.91959430588823865</v>
      </c>
      <c r="E22" s="43">
        <f t="shared" si="5"/>
        <v>9.3953132975369558E-3</v>
      </c>
      <c r="F22" s="23">
        <f>output!$B$16*E22</f>
        <v>679.76970770339381</v>
      </c>
      <c r="G22" s="23">
        <f>((A22+B22)/2)*output!$B$13</f>
        <v>45100.000000000007</v>
      </c>
      <c r="H22" s="23">
        <f t="shared" si="6"/>
        <v>36899.999999999993</v>
      </c>
      <c r="I22" s="172">
        <f t="shared" si="7"/>
        <v>0</v>
      </c>
      <c r="J22" s="172">
        <f t="shared" si="8"/>
        <v>3818.0884896125763</v>
      </c>
      <c r="K22" s="172">
        <f t="shared" si="9"/>
        <v>3694.3961257775118</v>
      </c>
      <c r="L22" s="172">
        <f t="shared" si="10"/>
        <v>1300.9057832612605</v>
      </c>
      <c r="M22" s="172">
        <f t="shared" si="11"/>
        <v>0</v>
      </c>
      <c r="N22" s="122">
        <f t="shared" si="1"/>
        <v>8813.3903986513487</v>
      </c>
      <c r="O22" s="123">
        <f t="shared" si="12"/>
        <v>5991075.8151671244</v>
      </c>
      <c r="P22" s="43">
        <f t="shared" si="2"/>
        <v>0.97145447059655843</v>
      </c>
      <c r="Q22" s="43">
        <f t="shared" si="17"/>
        <v>5.4490423135213906E-3</v>
      </c>
      <c r="R22" s="44">
        <f>output!$B$17*Q22</f>
        <v>197.12455473394979</v>
      </c>
      <c r="S22" s="173">
        <f t="shared" si="13"/>
        <v>0</v>
      </c>
      <c r="T22" s="173">
        <f t="shared" si="14"/>
        <v>1909.0442448062881</v>
      </c>
      <c r="U22" s="173">
        <f t="shared" si="18"/>
        <v>2330.1539865298992</v>
      </c>
      <c r="V22" s="173">
        <f t="shared" si="19"/>
        <v>7652.2328402806679</v>
      </c>
      <c r="W22" s="173">
        <f t="shared" si="20"/>
        <v>5505.1184334773543</v>
      </c>
      <c r="X22" s="118">
        <f t="shared" si="15"/>
        <v>17396.549505094208</v>
      </c>
      <c r="Y22" s="44">
        <f t="shared" si="16"/>
        <v>3429287.0750988103</v>
      </c>
    </row>
    <row r="23" spans="1:25" x14ac:dyDescent="0.25">
      <c r="A23" s="14">
        <f>brackets_gross!A32</f>
        <v>84000</v>
      </c>
      <c r="B23" s="44">
        <f t="shared" si="0"/>
        <v>88000</v>
      </c>
      <c r="C23" s="171">
        <f t="shared" si="3"/>
        <v>86000</v>
      </c>
      <c r="D23" s="43">
        <f t="shared" si="4"/>
        <v>0.92782313564817309</v>
      </c>
      <c r="E23" s="43">
        <f t="shared" si="5"/>
        <v>8.2288297599344418E-3</v>
      </c>
      <c r="F23" s="23">
        <f>output!$B$16*E23</f>
        <v>595.37229079077679</v>
      </c>
      <c r="G23" s="23">
        <f>((A23+B23)/2)*output!$B$13</f>
        <v>47300.000000000007</v>
      </c>
      <c r="H23" s="23">
        <f t="shared" si="6"/>
        <v>38699.999999999993</v>
      </c>
      <c r="I23" s="172">
        <f t="shared" si="7"/>
        <v>0</v>
      </c>
      <c r="J23" s="172">
        <f t="shared" si="8"/>
        <v>3818.0884896125763</v>
      </c>
      <c r="K23" s="172">
        <f t="shared" si="9"/>
        <v>4144.3961257775118</v>
      </c>
      <c r="L23" s="172">
        <f t="shared" si="10"/>
        <v>1960.9057832612605</v>
      </c>
      <c r="M23" s="172">
        <f t="shared" si="11"/>
        <v>0</v>
      </c>
      <c r="N23" s="122">
        <f t="shared" si="1"/>
        <v>9923.3903986513487</v>
      </c>
      <c r="O23" s="123">
        <f t="shared" si="12"/>
        <v>5908111.6740562534</v>
      </c>
      <c r="P23" s="43">
        <f t="shared" si="2"/>
        <v>0.97594319304391586</v>
      </c>
      <c r="Q23" s="43">
        <f t="shared" si="17"/>
        <v>4.4887224473574294E-3</v>
      </c>
      <c r="R23" s="44">
        <f>output!$B$17*Q23</f>
        <v>162.38402325560233</v>
      </c>
      <c r="S23" s="173">
        <f t="shared" si="13"/>
        <v>0</v>
      </c>
      <c r="T23" s="173">
        <f t="shared" si="14"/>
        <v>1909.0442448062881</v>
      </c>
      <c r="U23" s="173">
        <f t="shared" si="18"/>
        <v>2330.1539865298992</v>
      </c>
      <c r="V23" s="173">
        <f t="shared" si="19"/>
        <v>7652.2328402806679</v>
      </c>
      <c r="W23" s="173">
        <f t="shared" si="20"/>
        <v>6905.1184334773543</v>
      </c>
      <c r="X23" s="118">
        <f t="shared" si="15"/>
        <v>18796.549505094208</v>
      </c>
      <c r="Y23" s="44">
        <f t="shared" si="16"/>
        <v>3052259.3319602981</v>
      </c>
    </row>
    <row r="24" spans="1:25" x14ac:dyDescent="0.25">
      <c r="A24" s="14">
        <f>brackets_gross!A33</f>
        <v>88000</v>
      </c>
      <c r="B24" s="44">
        <f t="shared" si="0"/>
        <v>92000</v>
      </c>
      <c r="C24" s="171">
        <f t="shared" si="3"/>
        <v>90000</v>
      </c>
      <c r="D24" s="43">
        <f t="shared" si="4"/>
        <v>0.93505265025929363</v>
      </c>
      <c r="E24" s="43">
        <f t="shared" si="5"/>
        <v>7.2295146111205355E-3</v>
      </c>
      <c r="F24" s="23">
        <f>output!$B$16*E24</f>
        <v>523.06984114379293</v>
      </c>
      <c r="G24" s="23">
        <f>((A24+B24)/2)*output!$B$13</f>
        <v>49500.000000000007</v>
      </c>
      <c r="H24" s="23">
        <f t="shared" si="6"/>
        <v>40499.999999999993</v>
      </c>
      <c r="I24" s="172">
        <f t="shared" si="7"/>
        <v>0</v>
      </c>
      <c r="J24" s="172">
        <f t="shared" si="8"/>
        <v>3818.0884896125763</v>
      </c>
      <c r="K24" s="172">
        <f t="shared" si="9"/>
        <v>4594.3961257775118</v>
      </c>
      <c r="L24" s="172">
        <f t="shared" si="10"/>
        <v>2620.9057832612602</v>
      </c>
      <c r="M24" s="172">
        <f t="shared" si="11"/>
        <v>0</v>
      </c>
      <c r="N24" s="122">
        <f t="shared" si="1"/>
        <v>11033.390398651347</v>
      </c>
      <c r="O24" s="123">
        <f t="shared" si="12"/>
        <v>5771233.7631000103</v>
      </c>
      <c r="P24" s="43">
        <f t="shared" si="2"/>
        <v>0.97965537074643727</v>
      </c>
      <c r="Q24" s="43">
        <f t="shared" si="17"/>
        <v>3.7121777025214131E-3</v>
      </c>
      <c r="R24" s="44">
        <f>output!$B$17*Q24</f>
        <v>134.2917405664146</v>
      </c>
      <c r="S24" s="173">
        <f t="shared" si="13"/>
        <v>0</v>
      </c>
      <c r="T24" s="173">
        <f t="shared" si="14"/>
        <v>1909.0442448062881</v>
      </c>
      <c r="U24" s="173">
        <f t="shared" si="18"/>
        <v>2330.1539865298992</v>
      </c>
      <c r="V24" s="173">
        <f t="shared" si="19"/>
        <v>7652.2328402806679</v>
      </c>
      <c r="W24" s="173">
        <f t="shared" si="20"/>
        <v>8305.1184334773552</v>
      </c>
      <c r="X24" s="118">
        <f t="shared" si="15"/>
        <v>20196.549505094212</v>
      </c>
      <c r="Y24" s="44">
        <f t="shared" si="16"/>
        <v>2712229.7864748612</v>
      </c>
    </row>
    <row r="25" spans="1:25" x14ac:dyDescent="0.25">
      <c r="A25" s="14">
        <f>brackets_gross!A34</f>
        <v>92000</v>
      </c>
      <c r="B25" s="44">
        <f t="shared" si="0"/>
        <v>96000</v>
      </c>
      <c r="C25" s="171">
        <f t="shared" ref="C25:C27" si="21">AVERAGE(A25:B25)</f>
        <v>94000</v>
      </c>
      <c r="D25" s="43">
        <f t="shared" si="4"/>
        <v>0.94142301638600079</v>
      </c>
      <c r="E25" s="43">
        <f t="shared" ref="E25:E27" si="22">D25-D24</f>
        <v>6.370366126707161E-3</v>
      </c>
      <c r="F25" s="23">
        <f>output!$B$16*E25</f>
        <v>460.90872999951648</v>
      </c>
      <c r="G25" s="23">
        <f>((A25+B25)/2)*output!$B$13</f>
        <v>51700.000000000007</v>
      </c>
      <c r="H25" s="23">
        <f t="shared" ref="H25:H27" si="23">((A25+B25)/2)-G25</f>
        <v>42299.999999999993</v>
      </c>
      <c r="I25" s="172">
        <f t="shared" si="7"/>
        <v>0</v>
      </c>
      <c r="J25" s="172">
        <f t="shared" si="8"/>
        <v>3818.0884896125763</v>
      </c>
      <c r="K25" s="172">
        <f t="shared" si="9"/>
        <v>4660.3079730597983</v>
      </c>
      <c r="L25" s="172">
        <f t="shared" si="10"/>
        <v>3741.8115665225164</v>
      </c>
      <c r="M25" s="172">
        <f t="shared" si="11"/>
        <v>0</v>
      </c>
      <c r="N25" s="122">
        <f t="shared" ref="N25:N27" si="24">SUM(I25:M25)</f>
        <v>12220.208029194891</v>
      </c>
      <c r="O25" s="123">
        <f t="shared" ref="O25:O27" si="25">N25*F25</f>
        <v>5632400.5630661119</v>
      </c>
      <c r="P25" s="43">
        <f t="shared" si="2"/>
        <v>0.98273703975803417</v>
      </c>
      <c r="Q25" s="43">
        <f t="shared" ref="Q25:Q27" si="26">P25-P24</f>
        <v>3.0816690115968992E-3</v>
      </c>
      <c r="R25" s="44">
        <f>output!$B$17*Q25</f>
        <v>111.4824581635294</v>
      </c>
      <c r="S25" s="173">
        <f t="shared" si="13"/>
        <v>0</v>
      </c>
      <c r="T25" s="173">
        <f t="shared" si="14"/>
        <v>1909.0442448062881</v>
      </c>
      <c r="U25" s="173">
        <f t="shared" si="18"/>
        <v>2330.1539865298992</v>
      </c>
      <c r="V25" s="173">
        <f t="shared" si="19"/>
        <v>7652.2328402806679</v>
      </c>
      <c r="W25" s="173">
        <f t="shared" si="20"/>
        <v>9705.1184334773534</v>
      </c>
      <c r="X25" s="118">
        <f t="shared" ref="X25:X27" si="27">SUM(S25:W25)</f>
        <v>21596.549505094208</v>
      </c>
      <c r="Y25" s="44">
        <f t="shared" ref="Y25:Y27" si="28">X25*R25</f>
        <v>2407636.4266782566</v>
      </c>
    </row>
    <row r="26" spans="1:25" x14ac:dyDescent="0.25">
      <c r="A26" s="14">
        <f>brackets_gross!A35</f>
        <v>96000</v>
      </c>
      <c r="B26" s="44">
        <f t="shared" si="0"/>
        <v>100000</v>
      </c>
      <c r="C26" s="171">
        <f t="shared" si="21"/>
        <v>98000</v>
      </c>
      <c r="D26" s="43">
        <f t="shared" si="4"/>
        <v>0.94705221160815911</v>
      </c>
      <c r="E26" s="43">
        <f t="shared" si="22"/>
        <v>5.629195222158323E-3</v>
      </c>
      <c r="F26" s="23">
        <f>output!$B$16*E26</f>
        <v>407.28353271359902</v>
      </c>
      <c r="G26" s="23">
        <f>((A26+B26)/2)*output!$B$13</f>
        <v>53900.000000000007</v>
      </c>
      <c r="H26" s="23">
        <f t="shared" si="23"/>
        <v>44099.999999999993</v>
      </c>
      <c r="I26" s="172">
        <f t="shared" si="7"/>
        <v>0</v>
      </c>
      <c r="J26" s="172">
        <f t="shared" si="8"/>
        <v>3818.0884896125763</v>
      </c>
      <c r="K26" s="172">
        <f t="shared" si="9"/>
        <v>4660.3079730597983</v>
      </c>
      <c r="L26" s="172">
        <f t="shared" si="10"/>
        <v>4941.8115665225159</v>
      </c>
      <c r="M26" s="172">
        <f t="shared" si="11"/>
        <v>0</v>
      </c>
      <c r="N26" s="122">
        <f t="shared" si="24"/>
        <v>13420.208029194891</v>
      </c>
      <c r="O26" s="123">
        <f t="shared" si="25"/>
        <v>5465829.7358819013</v>
      </c>
      <c r="P26" s="43">
        <f t="shared" si="2"/>
        <v>0.98530471614416393</v>
      </c>
      <c r="Q26" s="43">
        <f t="shared" si="26"/>
        <v>2.567676386129758E-3</v>
      </c>
      <c r="R26" s="44">
        <f>output!$B$17*Q26</f>
        <v>92.888260944630105</v>
      </c>
      <c r="S26" s="173">
        <f t="shared" si="13"/>
        <v>0</v>
      </c>
      <c r="T26" s="173">
        <f t="shared" si="14"/>
        <v>1909.0442448062881</v>
      </c>
      <c r="U26" s="173">
        <f t="shared" si="18"/>
        <v>2330.1539865298992</v>
      </c>
      <c r="V26" s="173">
        <f t="shared" si="19"/>
        <v>7652.2328402806679</v>
      </c>
      <c r="W26" s="173">
        <f t="shared" si="20"/>
        <v>11105.118433477353</v>
      </c>
      <c r="X26" s="118">
        <f t="shared" si="27"/>
        <v>22996.549505094208</v>
      </c>
      <c r="Y26" s="44">
        <f t="shared" si="28"/>
        <v>2136109.491255295</v>
      </c>
    </row>
    <row r="27" spans="1:25" x14ac:dyDescent="0.25">
      <c r="A27" s="14">
        <f>brackets_gross!A36</f>
        <v>100000</v>
      </c>
      <c r="B27" s="44">
        <f t="shared" si="0"/>
        <v>104000</v>
      </c>
      <c r="C27" s="171">
        <f t="shared" si="21"/>
        <v>102000</v>
      </c>
      <c r="D27" s="43">
        <f t="shared" si="4"/>
        <v>0.95203990931561389</v>
      </c>
      <c r="E27" s="43">
        <f t="shared" si="22"/>
        <v>4.9876977074547746E-3</v>
      </c>
      <c r="F27" s="23">
        <f>output!$B$16*E27</f>
        <v>360.86990452976784</v>
      </c>
      <c r="G27" s="23">
        <f>((A27+B27)/2)*output!$B$13</f>
        <v>56100.000000000007</v>
      </c>
      <c r="H27" s="23">
        <f t="shared" si="23"/>
        <v>45899.999999999993</v>
      </c>
      <c r="I27" s="172">
        <f t="shared" si="7"/>
        <v>0</v>
      </c>
      <c r="J27" s="172">
        <f t="shared" si="8"/>
        <v>3818.0884896125763</v>
      </c>
      <c r="K27" s="172">
        <f t="shared" si="9"/>
        <v>4660.3079730597983</v>
      </c>
      <c r="L27" s="172">
        <f t="shared" si="10"/>
        <v>6141.8115665225168</v>
      </c>
      <c r="M27" s="172">
        <f t="shared" si="11"/>
        <v>0</v>
      </c>
      <c r="N27" s="122">
        <f t="shared" si="24"/>
        <v>14620.208029194891</v>
      </c>
      <c r="O27" s="123">
        <f t="shared" si="25"/>
        <v>5275993.0757009061</v>
      </c>
      <c r="P27" s="43">
        <f t="shared" si="2"/>
        <v>0.98745174027705029</v>
      </c>
      <c r="Q27" s="43">
        <f t="shared" si="26"/>
        <v>2.147024132886366E-3</v>
      </c>
      <c r="R27" s="44">
        <f>output!$B$17*Q27</f>
        <v>77.670745031297159</v>
      </c>
      <c r="S27" s="173">
        <f t="shared" si="13"/>
        <v>0</v>
      </c>
      <c r="T27" s="173">
        <f t="shared" si="14"/>
        <v>1909.0442448062881</v>
      </c>
      <c r="U27" s="173">
        <f t="shared" si="18"/>
        <v>2330.1539865298992</v>
      </c>
      <c r="V27" s="173">
        <f t="shared" si="19"/>
        <v>7652.2328402806679</v>
      </c>
      <c r="W27" s="173">
        <f t="shared" si="20"/>
        <v>12505.118433477353</v>
      </c>
      <c r="X27" s="118">
        <f t="shared" si="27"/>
        <v>24396.549505094208</v>
      </c>
      <c r="Y27" s="44">
        <f t="shared" si="28"/>
        <v>1894898.1762535912</v>
      </c>
    </row>
    <row r="28" spans="1:25" x14ac:dyDescent="0.25">
      <c r="A28" s="14">
        <f>brackets_gross!A37</f>
        <v>104000</v>
      </c>
      <c r="B28" s="44">
        <f t="shared" ref="B28:B29" si="29">A29</f>
        <v>108000</v>
      </c>
      <c r="C28" s="171">
        <f t="shared" ref="C28:C29" si="30">AVERAGE(A28:B28)</f>
        <v>106000</v>
      </c>
      <c r="D28" s="43">
        <f t="shared" si="4"/>
        <v>0.95647062528685267</v>
      </c>
      <c r="E28" s="43">
        <f t="shared" ref="E28:E29" si="31">D28-D27</f>
        <v>4.4307159712387856E-3</v>
      </c>
      <c r="F28" s="23">
        <f>output!$B$16*E28</f>
        <v>320.57116195106863</v>
      </c>
      <c r="G28" s="23">
        <f>((A28+B28)/2)*output!$B$13</f>
        <v>58300.000000000007</v>
      </c>
      <c r="H28" s="23">
        <f t="shared" ref="H28:H29" si="32">((A28+B28)/2)-G28</f>
        <v>47699.999999999993</v>
      </c>
      <c r="I28" s="172">
        <f t="shared" si="7"/>
        <v>0</v>
      </c>
      <c r="J28" s="172">
        <f t="shared" si="8"/>
        <v>3818.0884896125763</v>
      </c>
      <c r="K28" s="172">
        <f t="shared" si="9"/>
        <v>4660.3079730597983</v>
      </c>
      <c r="L28" s="172">
        <f t="shared" si="10"/>
        <v>7341.8115665225168</v>
      </c>
      <c r="M28" s="172">
        <f t="shared" si="11"/>
        <v>0</v>
      </c>
      <c r="N28" s="122">
        <f t="shared" ref="N28:N29" si="33">SUM(I28:M28)</f>
        <v>15820.208029194891</v>
      </c>
      <c r="O28" s="123">
        <f t="shared" ref="O28:O29" si="34">N28*F28</f>
        <v>5071502.4702266315</v>
      </c>
      <c r="P28" s="43">
        <f t="shared" si="2"/>
        <v>0.98925318769312731</v>
      </c>
      <c r="Q28" s="43">
        <f t="shared" ref="Q28:Q29" si="35">P28-P27</f>
        <v>1.8014474160770177E-3</v>
      </c>
      <c r="R28" s="44">
        <f>output!$B$17*Q28</f>
        <v>65.16916172400218</v>
      </c>
      <c r="S28" s="173">
        <f t="shared" si="13"/>
        <v>0</v>
      </c>
      <c r="T28" s="173">
        <f t="shared" si="14"/>
        <v>1909.0442448062881</v>
      </c>
      <c r="U28" s="173">
        <f t="shared" si="18"/>
        <v>2330.1539865298992</v>
      </c>
      <c r="V28" s="173">
        <f t="shared" si="19"/>
        <v>7652.2328402806679</v>
      </c>
      <c r="W28" s="173">
        <f t="shared" si="20"/>
        <v>13905.118433477353</v>
      </c>
      <c r="X28" s="118">
        <f t="shared" ref="X28:X29" si="36">SUM(S28:W28)</f>
        <v>25796.549505094208</v>
      </c>
      <c r="Y28" s="44">
        <f t="shared" ref="Y28:Y29" si="37">X28*R28</f>
        <v>1681139.5066187128</v>
      </c>
    </row>
    <row r="29" spans="1:25" x14ac:dyDescent="0.25">
      <c r="A29" s="14">
        <f>brackets_gross!A38</f>
        <v>108000</v>
      </c>
      <c r="B29" s="44">
        <f t="shared" si="29"/>
        <v>112000</v>
      </c>
      <c r="C29" s="171">
        <f t="shared" si="30"/>
        <v>110000</v>
      </c>
      <c r="D29" s="43">
        <f t="shared" si="4"/>
        <v>0.96041627544394603</v>
      </c>
      <c r="E29" s="43">
        <f t="shared" si="31"/>
        <v>3.9456501570933611E-3</v>
      </c>
      <c r="F29" s="23">
        <f>output!$B$16*E29</f>
        <v>285.47568016601883</v>
      </c>
      <c r="G29" s="23">
        <f>((A29+B29)/2)*output!$B$13</f>
        <v>60500.000000000007</v>
      </c>
      <c r="H29" s="23">
        <f t="shared" si="32"/>
        <v>49499.999999999993</v>
      </c>
      <c r="I29" s="172">
        <f t="shared" si="7"/>
        <v>0</v>
      </c>
      <c r="J29" s="172">
        <f t="shared" si="8"/>
        <v>3818.0884896125763</v>
      </c>
      <c r="K29" s="172">
        <f t="shared" si="9"/>
        <v>4660.3079730597983</v>
      </c>
      <c r="L29" s="172">
        <f t="shared" si="10"/>
        <v>8541.8115665225159</v>
      </c>
      <c r="M29" s="172">
        <f t="shared" si="11"/>
        <v>0</v>
      </c>
      <c r="N29" s="122">
        <f t="shared" si="33"/>
        <v>17020.208029194891</v>
      </c>
      <c r="O29" s="123">
        <f t="shared" si="34"/>
        <v>4858855.4637015462</v>
      </c>
      <c r="P29" s="43">
        <f t="shared" si="2"/>
        <v>0.99076968275429644</v>
      </c>
      <c r="Q29" s="43">
        <f t="shared" si="35"/>
        <v>1.5164950611691319E-3</v>
      </c>
      <c r="R29" s="44">
        <f>output!$B$17*Q29</f>
        <v>54.860725332854507</v>
      </c>
      <c r="S29" s="173">
        <f t="shared" si="13"/>
        <v>0</v>
      </c>
      <c r="T29" s="173">
        <f t="shared" si="14"/>
        <v>1909.0442448062881</v>
      </c>
      <c r="U29" s="173">
        <f t="shared" si="18"/>
        <v>2330.1539865298992</v>
      </c>
      <c r="V29" s="173">
        <f t="shared" si="19"/>
        <v>7652.2328402806679</v>
      </c>
      <c r="W29" s="173">
        <f t="shared" si="20"/>
        <v>15305.118433477353</v>
      </c>
      <c r="X29" s="118">
        <f t="shared" si="36"/>
        <v>27196.549505094208</v>
      </c>
      <c r="Y29" s="44">
        <f t="shared" si="37"/>
        <v>1492022.4324003535</v>
      </c>
    </row>
    <row r="30" spans="1:25" x14ac:dyDescent="0.25">
      <c r="A30" s="14">
        <f>brackets_gross!A39</f>
        <v>112000</v>
      </c>
      <c r="B30" s="44">
        <f t="shared" ref="B30:B31" si="38">A31</f>
        <v>116000</v>
      </c>
      <c r="C30" s="171">
        <f t="shared" ref="C30:C31" si="39">AVERAGE(A30:B30)</f>
        <v>114000</v>
      </c>
      <c r="D30" s="43">
        <f t="shared" ref="D30:D31" si="40">_xlfn.LOGNORM.DIST(A30,$B$34,$B$35,TRUE)</f>
        <v>0.96393826270134841</v>
      </c>
      <c r="E30" s="43">
        <f t="shared" ref="E30:E31" si="41">D30-D29</f>
        <v>3.5219872574023814E-3</v>
      </c>
      <c r="F30" s="23">
        <f>output!$B$16*E30</f>
        <v>254.82282204757709</v>
      </c>
      <c r="G30" s="23">
        <f>((A30+B30)/2)*output!$B$13</f>
        <v>62700.000000000007</v>
      </c>
      <c r="H30" s="23">
        <f t="shared" ref="H30:H31" si="42">((A30+B30)/2)-G30</f>
        <v>51299.999999999993</v>
      </c>
      <c r="I30" s="172">
        <f t="shared" ref="I30:I31" si="43">MIN(MAX(0,($H30-F$33)*G$34),G$35) + MIN(MAX(0,($G30-F$33)*G$34),G$35)</f>
        <v>0</v>
      </c>
      <c r="J30" s="172">
        <f t="shared" ref="J30:J31" si="44">MIN(MAX(0,($H30-G$33)*H$34),H$35) + MIN(MAX(0,($G30-G$33)*H$34),H$35)</f>
        <v>3818.0884896125763</v>
      </c>
      <c r="K30" s="172">
        <f t="shared" ref="K30:K31" si="45">MIN(MAX(0,($H30-H$33)*I$34),I$35) + MIN(MAX(0,($G30-H$33)*I$34),I$35)</f>
        <v>4660.3079730597983</v>
      </c>
      <c r="L30" s="172">
        <f t="shared" ref="L30:L31" si="46">MIN(MAX(0,($H30-I$33)*J$34),J$35) + MIN(MAX(0,($G30-I$33)*J$34),J$35)</f>
        <v>9741.8115665225159</v>
      </c>
      <c r="M30" s="172">
        <f t="shared" ref="M30:M31" si="47">MIN(MAX(0,($H30-J$33)*K$34),K$35) + MIN(MAX(0,($G30-J$33)*K$34),K$35)</f>
        <v>0</v>
      </c>
      <c r="N30" s="122">
        <f t="shared" ref="N30:N31" si="48">SUM(I30:M30)</f>
        <v>18220.208029194891</v>
      </c>
      <c r="O30" s="123">
        <f t="shared" ref="O30:O31" si="49">N30*F30</f>
        <v>4642924.8282933654</v>
      </c>
      <c r="P30" s="43">
        <f t="shared" ref="P30:P31" si="50">IFERROR(_xlfn.LOGNORM.DIST(A30,$C$34,$C$35,TRUE),0)</f>
        <v>0.99205037075061542</v>
      </c>
      <c r="Q30" s="43">
        <f t="shared" ref="Q30:Q31" si="51">P30-P29</f>
        <v>1.2806879963189743E-3</v>
      </c>
      <c r="R30" s="44">
        <f>output!$B$17*Q30</f>
        <v>46.330168954835209</v>
      </c>
      <c r="S30" s="173">
        <f t="shared" ref="S30:S31" si="52">MIN(MAX(0,($C30-F$33)*G$34),G$35)</f>
        <v>0</v>
      </c>
      <c r="T30" s="173">
        <f t="shared" ref="T30:T31" si="53">MIN(MAX(0,($C30-G$33)*H$34),H$35)</f>
        <v>1909.0442448062881</v>
      </c>
      <c r="U30" s="173">
        <f t="shared" ref="U30:U31" si="54">MIN(MAX(0,($C30-H$33)*I$34),I$35)</f>
        <v>2330.1539865298992</v>
      </c>
      <c r="V30" s="173">
        <f t="shared" ref="V30:V31" si="55">MIN(MAX(0,($C30-I$33)*J$34),J$35)</f>
        <v>7652.2328402806679</v>
      </c>
      <c r="W30" s="173">
        <f t="shared" ref="W30:W31" si="56">MIN(MAX(0,($C30-J$33)*K$34),K$35)</f>
        <v>16705.118433477353</v>
      </c>
      <c r="X30" s="118">
        <f t="shared" ref="X30:X31" si="57">SUM(S30:W30)</f>
        <v>28596.549505094208</v>
      </c>
      <c r="Y30" s="44">
        <f t="shared" ref="Y30:Y31" si="58">X30*R30</f>
        <v>1324882.9700963239</v>
      </c>
    </row>
    <row r="31" spans="1:25" x14ac:dyDescent="0.25">
      <c r="A31" s="14">
        <f>brackets_gross!A40</f>
        <v>116000</v>
      </c>
      <c r="B31" s="44">
        <f t="shared" si="38"/>
        <v>0</v>
      </c>
      <c r="C31" s="171">
        <f t="shared" si="39"/>
        <v>58000</v>
      </c>
      <c r="D31" s="43">
        <f t="shared" si="40"/>
        <v>0.96708918601153582</v>
      </c>
      <c r="E31" s="43">
        <f t="shared" si="41"/>
        <v>3.1509233101874035E-3</v>
      </c>
      <c r="F31" s="23">
        <f>output!$B$16*E31</f>
        <v>227.97560333867901</v>
      </c>
      <c r="G31" s="23">
        <f>((A31+B31)/2)*output!$B$13</f>
        <v>31900.000000000004</v>
      </c>
      <c r="H31" s="23">
        <f t="shared" si="42"/>
        <v>26099.999999999996</v>
      </c>
      <c r="I31" s="172">
        <f t="shared" si="43"/>
        <v>0</v>
      </c>
      <c r="J31" s="172">
        <f t="shared" si="44"/>
        <v>2749.4822010106673</v>
      </c>
      <c r="K31" s="172">
        <f t="shared" si="45"/>
        <v>114.24213924761534</v>
      </c>
      <c r="L31" s="172">
        <f t="shared" si="46"/>
        <v>0</v>
      </c>
      <c r="M31" s="172">
        <f t="shared" si="47"/>
        <v>0</v>
      </c>
      <c r="N31" s="122">
        <f t="shared" si="48"/>
        <v>2863.7243402582826</v>
      </c>
      <c r="O31" s="123">
        <f t="shared" si="49"/>
        <v>652859.28426604252</v>
      </c>
      <c r="P31" s="43">
        <f t="shared" si="50"/>
        <v>0.9931352427717961</v>
      </c>
      <c r="Q31" s="43">
        <f t="shared" si="51"/>
        <v>1.0848720211806828E-3</v>
      </c>
      <c r="R31" s="44">
        <f>output!$B$17*Q31</f>
        <v>39.246330238232375</v>
      </c>
      <c r="S31" s="173">
        <f t="shared" si="52"/>
        <v>0</v>
      </c>
      <c r="T31" s="173">
        <f t="shared" si="53"/>
        <v>1909.0442448062881</v>
      </c>
      <c r="U31" s="173">
        <f t="shared" si="54"/>
        <v>2330.1539865298992</v>
      </c>
      <c r="V31" s="173">
        <f t="shared" si="55"/>
        <v>5170.905783261258</v>
      </c>
      <c r="W31" s="173">
        <f t="shared" si="56"/>
        <v>0</v>
      </c>
      <c r="X31" s="118">
        <f t="shared" si="57"/>
        <v>9410.1040145974457</v>
      </c>
      <c r="Y31" s="44">
        <f t="shared" si="58"/>
        <v>369312.04973300762</v>
      </c>
    </row>
    <row r="32" spans="1:25" ht="15.75" thickBot="1" x14ac:dyDescent="0.3"/>
    <row r="33" spans="1:25" ht="15.75" thickBot="1" x14ac:dyDescent="0.3">
      <c r="A33" s="154"/>
      <c r="B33" s="154" t="s">
        <v>46</v>
      </c>
      <c r="C33" s="154" t="s">
        <v>47</v>
      </c>
      <c r="D33" s="189"/>
      <c r="E33" s="154" t="s">
        <v>55</v>
      </c>
      <c r="F33" s="169">
        <v>0</v>
      </c>
      <c r="G33" s="169">
        <f>output!F9</f>
        <v>21897.810218978102</v>
      </c>
      <c r="H33" s="169">
        <f>output!F10</f>
        <v>31443.031443009542</v>
      </c>
      <c r="I33" s="169">
        <f>output!F11</f>
        <v>40763.647389129139</v>
      </c>
      <c r="J33" s="169">
        <f>output!F12</f>
        <v>66271.0901900647</v>
      </c>
      <c r="K33" s="169"/>
      <c r="O33" s="53">
        <f>SUM(O2:O32)</f>
        <v>91606547.435803771</v>
      </c>
      <c r="Y33" s="52">
        <f>SUM(Y2:Y32)</f>
        <v>104369411.17309196</v>
      </c>
    </row>
    <row r="34" spans="1:25" ht="15.75" thickBot="1" x14ac:dyDescent="0.3">
      <c r="A34" s="154" t="str">
        <f>cyprus_income!D11</f>
        <v>mu</v>
      </c>
      <c r="B34" s="154">
        <f>cyprus_income!E11</f>
        <v>10.09820866957805</v>
      </c>
      <c r="C34" s="154">
        <f>cyprus_income!D34</f>
        <v>10.03109574729636</v>
      </c>
      <c r="D34" s="189"/>
      <c r="E34" s="154" t="s">
        <v>6</v>
      </c>
      <c r="F34" s="170"/>
      <c r="G34" s="170">
        <f>output!G9</f>
        <v>0</v>
      </c>
      <c r="H34" s="170">
        <f>output!G10</f>
        <v>0.2</v>
      </c>
      <c r="I34" s="170">
        <f>output!G11</f>
        <v>0.25</v>
      </c>
      <c r="J34" s="170">
        <f>output!G12</f>
        <v>0.3</v>
      </c>
      <c r="K34" s="170">
        <f>output!G13</f>
        <v>0.35</v>
      </c>
    </row>
    <row r="35" spans="1:25" ht="15.75" thickBot="1" x14ac:dyDescent="0.3">
      <c r="A35" s="154" t="str">
        <f>cyprus_income!D12</f>
        <v>sigma</v>
      </c>
      <c r="B35" s="154">
        <f>cyprus_income!E12</f>
        <v>0.84969875056161703</v>
      </c>
      <c r="C35" s="154">
        <f>cyprus_income!D35</f>
        <v>0.66155658154839625</v>
      </c>
      <c r="D35" s="189"/>
      <c r="E35" s="154" t="s">
        <v>61</v>
      </c>
      <c r="F35" s="190">
        <f>SUM(Y33,O33)</f>
        <v>195975958.60889572</v>
      </c>
      <c r="G35" s="51">
        <f>G33*G34</f>
        <v>0</v>
      </c>
      <c r="H35" s="169">
        <f>(H33-G33)*H34</f>
        <v>1909.0442448062881</v>
      </c>
      <c r="I35" s="169">
        <f t="shared" ref="I35:J35" si="59">(I33-H33)*I34</f>
        <v>2330.1539865298992</v>
      </c>
      <c r="J35" s="169">
        <f t="shared" si="59"/>
        <v>7652.2328402806679</v>
      </c>
      <c r="K35" s="169"/>
    </row>
    <row r="36" spans="1:25" x14ac:dyDescent="0.25">
      <c r="A36" s="18"/>
      <c r="B36" s="18"/>
    </row>
    <row r="37" spans="1:25" x14ac:dyDescent="0.25">
      <c r="A37" s="18"/>
      <c r="B37" s="1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4D3E-6A44-4468-A485-619C01B0ABA4}">
  <sheetPr>
    <tabColor theme="7" tint="0.79998168889431442"/>
  </sheetPr>
  <dimension ref="A1:Y35"/>
  <sheetViews>
    <sheetView workbookViewId="0">
      <selection activeCell="N35" sqref="N35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3.140625" bestFit="1" customWidth="1"/>
    <col min="4" max="5" width="17.7109375" bestFit="1" customWidth="1"/>
    <col min="6" max="6" width="12.85546875" bestFit="1" customWidth="1"/>
    <col min="7" max="7" width="15.140625" bestFit="1" customWidth="1"/>
    <col min="8" max="8" width="17" bestFit="1" customWidth="1"/>
    <col min="9" max="9" width="10.5703125" bestFit="1" customWidth="1"/>
    <col min="10" max="10" width="11.28515625" bestFit="1" customWidth="1"/>
    <col min="11" max="11" width="10.85546875" style="11" bestFit="1" customWidth="1"/>
    <col min="12" max="12" width="18" style="11" bestFit="1" customWidth="1"/>
    <col min="13" max="13" width="26.5703125" bestFit="1" customWidth="1"/>
    <col min="14" max="14" width="20.28515625" bestFit="1" customWidth="1"/>
    <col min="15" max="15" width="15" bestFit="1" customWidth="1"/>
    <col min="16" max="16" width="10.42578125" bestFit="1" customWidth="1"/>
    <col min="17" max="17" width="8.140625" bestFit="1" customWidth="1"/>
    <col min="18" max="18" width="12.42578125" bestFit="1" customWidth="1"/>
    <col min="19" max="19" width="10.5703125" style="11" bestFit="1" customWidth="1"/>
    <col min="20" max="20" width="11.28515625" bestFit="1" customWidth="1"/>
    <col min="21" max="23" width="10.85546875" bestFit="1" customWidth="1"/>
    <col min="24" max="24" width="10.28515625" bestFit="1" customWidth="1"/>
    <col min="25" max="25" width="15" bestFit="1" customWidth="1"/>
  </cols>
  <sheetData>
    <row r="1" spans="1:25" s="154" customFormat="1" ht="15.75" thickBot="1" x14ac:dyDescent="0.3">
      <c r="A1" s="154" t="s">
        <v>21</v>
      </c>
      <c r="B1" s="154" t="s">
        <v>22</v>
      </c>
      <c r="C1" s="154" t="s">
        <v>58</v>
      </c>
      <c r="D1" s="154" t="s">
        <v>43</v>
      </c>
      <c r="E1" s="154" t="s">
        <v>44</v>
      </c>
      <c r="F1" s="154" t="s">
        <v>41</v>
      </c>
      <c r="G1" s="154" t="s">
        <v>50</v>
      </c>
      <c r="H1" s="154" t="s">
        <v>51</v>
      </c>
      <c r="I1" s="154" t="s">
        <v>53</v>
      </c>
      <c r="J1" s="154" t="s">
        <v>54</v>
      </c>
      <c r="K1" s="154" t="s">
        <v>52</v>
      </c>
      <c r="L1" s="154" t="s">
        <v>56</v>
      </c>
      <c r="M1" s="154" t="s">
        <v>57</v>
      </c>
      <c r="N1" s="154" t="s">
        <v>59</v>
      </c>
      <c r="O1" s="154" t="s">
        <v>60</v>
      </c>
      <c r="P1" s="154" t="s">
        <v>49</v>
      </c>
      <c r="Q1" s="154" t="s">
        <v>48</v>
      </c>
      <c r="R1" s="154" t="s">
        <v>40</v>
      </c>
      <c r="S1" s="154" t="s">
        <v>53</v>
      </c>
      <c r="T1" s="154" t="s">
        <v>54</v>
      </c>
      <c r="U1" s="154" t="s">
        <v>52</v>
      </c>
      <c r="V1" s="154" t="s">
        <v>56</v>
      </c>
      <c r="W1" s="154" t="s">
        <v>57</v>
      </c>
      <c r="X1" s="154" t="s">
        <v>59</v>
      </c>
      <c r="Y1" s="154" t="s">
        <v>60</v>
      </c>
    </row>
    <row r="2" spans="1:25" x14ac:dyDescent="0.25">
      <c r="A2" s="14">
        <f>brackets_gross!A11</f>
        <v>0</v>
      </c>
      <c r="B2" s="44">
        <f t="shared" ref="B2:B24" si="0">A3</f>
        <v>4000</v>
      </c>
      <c r="C2" s="171">
        <f>AVERAGE(A2:B2)</f>
        <v>2000</v>
      </c>
      <c r="D2" s="43">
        <f>IFERROR(_xlfn.LOGNORM.DIST(A2,$J$34,$J$35,TRUE),0)</f>
        <v>0</v>
      </c>
      <c r="E2" s="43">
        <f>D2</f>
        <v>0</v>
      </c>
      <c r="F2" s="23">
        <f t="shared" ref="F2:F29" si="1">$M$34*E2</f>
        <v>0</v>
      </c>
      <c r="G2" s="23">
        <f>A2*$L$34</f>
        <v>0</v>
      </c>
      <c r="H2" s="118"/>
      <c r="I2" s="118"/>
      <c r="J2" s="118"/>
      <c r="K2" s="118"/>
      <c r="L2" s="14"/>
      <c r="M2" s="14"/>
      <c r="N2" s="118">
        <f>SUM(I2:M2)</f>
        <v>0</v>
      </c>
      <c r="O2" s="23">
        <f>N2*F2</f>
        <v>0</v>
      </c>
      <c r="P2" s="43">
        <f t="shared" ref="P2:P29" si="2">IFERROR(_xlfn.LOGNORM.DIST(A2,$K$34,$K$35,TRUE),0)</f>
        <v>0</v>
      </c>
      <c r="Q2" s="43">
        <f>P2</f>
        <v>0</v>
      </c>
      <c r="R2" s="44">
        <f t="shared" ref="R2:R29" si="3">$N$34*Q2</f>
        <v>0</v>
      </c>
      <c r="S2" s="118"/>
      <c r="T2" s="118"/>
      <c r="U2" s="118"/>
      <c r="V2" s="118"/>
      <c r="W2" s="118"/>
      <c r="X2" s="118">
        <f>SUM(S2:W2)</f>
        <v>0</v>
      </c>
      <c r="Y2" s="44">
        <f>X2*R2</f>
        <v>0</v>
      </c>
    </row>
    <row r="3" spans="1:25" x14ac:dyDescent="0.25">
      <c r="A3" s="14">
        <f>brackets_gross!A12</f>
        <v>4000</v>
      </c>
      <c r="B3" s="44">
        <f t="shared" si="0"/>
        <v>8000</v>
      </c>
      <c r="C3" s="171">
        <f t="shared" ref="C3:C24" si="4">AVERAGE(A3:B3)</f>
        <v>6000</v>
      </c>
      <c r="D3" s="43">
        <f t="shared" ref="D3:D29" si="5">_xlfn.LOGNORM.DIST(A3,$J$34,$J$35,TRUE)</f>
        <v>1.6864672169972131E-2</v>
      </c>
      <c r="E3" s="43">
        <f t="shared" ref="E3:E24" si="6">D3-D2</f>
        <v>1.6864672169972131E-2</v>
      </c>
      <c r="F3" s="23">
        <f t="shared" si="1"/>
        <v>1220.1927608418237</v>
      </c>
      <c r="G3" s="23">
        <f t="shared" ref="G3:G29" si="7">C3*$L$34</f>
        <v>3300.0000000000005</v>
      </c>
      <c r="H3" s="23">
        <f>C3-G3</f>
        <v>2699.9999999999995</v>
      </c>
      <c r="I3" s="172">
        <f t="shared" ref="I3:I24" si="8">MIN(MAX(0,($H3+$G3-B$33)*C$34),C$35)</f>
        <v>0</v>
      </c>
      <c r="J3" s="172">
        <f t="shared" ref="J3:J24" si="9">MIN(MAX(0,($H3+$G3-C$33)*D$34),D$35)</f>
        <v>0</v>
      </c>
      <c r="K3" s="172">
        <f t="shared" ref="K3:K24" si="10">MIN(MAX(0,($H3+$G3-D$33)*E$34),E$35)</f>
        <v>0</v>
      </c>
      <c r="L3" s="172">
        <f t="shared" ref="L3:L24" si="11">MIN(MAX(0,($H3+$G3-E$33)*F$34),F$35)</f>
        <v>0</v>
      </c>
      <c r="M3" s="172">
        <f t="shared" ref="M3:M24" si="12">MIN(MAX(0,($H3+$G3-F$33)*G$34),G$35)</f>
        <v>0</v>
      </c>
      <c r="N3" s="118">
        <f t="shared" ref="N3:N24" si="13">SUM(I3:M3)</f>
        <v>0</v>
      </c>
      <c r="O3" s="23">
        <f t="shared" ref="O3:O24" si="14">N3*F3</f>
        <v>0</v>
      </c>
      <c r="P3" s="43">
        <f t="shared" si="2"/>
        <v>4.3236073827059599E-3</v>
      </c>
      <c r="Q3" s="43">
        <f>P3-P2</f>
        <v>4.3236073827059599E-3</v>
      </c>
      <c r="R3" s="44">
        <f t="shared" si="3"/>
        <v>156.41082067677078</v>
      </c>
      <c r="S3" s="173">
        <f t="shared" ref="S3:S24" si="15">MIN(MAX(0,($C3-B$33)*C$34),C$35)</f>
        <v>0</v>
      </c>
      <c r="T3" s="173">
        <f t="shared" ref="T3:T24" si="16">MIN(MAX(0,($C3-C$33)*D$34),D$35)</f>
        <v>0</v>
      </c>
      <c r="U3" s="118"/>
      <c r="V3" s="118"/>
      <c r="W3" s="118"/>
      <c r="X3" s="118">
        <f t="shared" ref="X3:X24" si="17">SUM(S3:W3)</f>
        <v>0</v>
      </c>
      <c r="Y3" s="44">
        <f t="shared" ref="Y3:Y24" si="18">X3*R3</f>
        <v>0</v>
      </c>
    </row>
    <row r="4" spans="1:25" x14ac:dyDescent="0.25">
      <c r="A4" s="14">
        <f>brackets_gross!A13</f>
        <v>8000</v>
      </c>
      <c r="B4" s="44">
        <f t="shared" si="0"/>
        <v>12000</v>
      </c>
      <c r="C4" s="171">
        <f t="shared" si="4"/>
        <v>10000</v>
      </c>
      <c r="D4" s="43">
        <f t="shared" si="5"/>
        <v>9.5515339722679019E-2</v>
      </c>
      <c r="E4" s="43">
        <f t="shared" si="6"/>
        <v>7.8650667552706888E-2</v>
      </c>
      <c r="F4" s="23">
        <f t="shared" si="1"/>
        <v>5690.5330987734487</v>
      </c>
      <c r="G4" s="23">
        <f t="shared" si="7"/>
        <v>5500</v>
      </c>
      <c r="H4" s="23">
        <f t="shared" ref="H4:H24" si="19">C4-G4</f>
        <v>4500</v>
      </c>
      <c r="I4" s="172">
        <f t="shared" si="8"/>
        <v>0</v>
      </c>
      <c r="J4" s="172">
        <f t="shared" si="9"/>
        <v>0</v>
      </c>
      <c r="K4" s="172">
        <f t="shared" si="10"/>
        <v>0</v>
      </c>
      <c r="L4" s="172">
        <f t="shared" si="11"/>
        <v>0</v>
      </c>
      <c r="M4" s="172">
        <f t="shared" si="12"/>
        <v>0</v>
      </c>
      <c r="N4" s="118">
        <f t="shared" si="13"/>
        <v>0</v>
      </c>
      <c r="O4" s="23">
        <f t="shared" si="14"/>
        <v>0</v>
      </c>
      <c r="P4" s="43">
        <f t="shared" si="2"/>
        <v>5.7289291893859819E-2</v>
      </c>
      <c r="Q4" s="43">
        <f t="shared" ref="Q4:Q24" si="20">P4-P3</f>
        <v>5.2965684511153861E-2</v>
      </c>
      <c r="R4" s="44">
        <f t="shared" si="3"/>
        <v>1916.0866028755017</v>
      </c>
      <c r="S4" s="173">
        <f t="shared" si="15"/>
        <v>0</v>
      </c>
      <c r="T4" s="173">
        <f t="shared" si="16"/>
        <v>0</v>
      </c>
      <c r="U4" s="173">
        <f t="shared" ref="U4:U24" si="21">MIN(MAX(0,($C4-D$33)*E$34),E$35)</f>
        <v>0</v>
      </c>
      <c r="V4" s="173">
        <f t="shared" ref="V4:V24" si="22">MIN(MAX(0,($C4-E$33)*F$34),F$35)</f>
        <v>0</v>
      </c>
      <c r="W4" s="173">
        <f t="shared" ref="W4:W24" si="23">MIN(MAX(0,($C4-F$33)*G$34),G$35)</f>
        <v>0</v>
      </c>
      <c r="X4" s="118">
        <f t="shared" si="17"/>
        <v>0</v>
      </c>
      <c r="Y4" s="44">
        <f t="shared" si="18"/>
        <v>0</v>
      </c>
    </row>
    <row r="5" spans="1:25" x14ac:dyDescent="0.25">
      <c r="A5" s="14">
        <f>brackets_gross!A14</f>
        <v>12000</v>
      </c>
      <c r="B5" s="44">
        <f t="shared" si="0"/>
        <v>16000</v>
      </c>
      <c r="C5" s="171">
        <f t="shared" si="4"/>
        <v>14000</v>
      </c>
      <c r="D5" s="43">
        <f t="shared" si="5"/>
        <v>0.20317066825475033</v>
      </c>
      <c r="E5" s="43">
        <f t="shared" si="6"/>
        <v>0.10765532853207131</v>
      </c>
      <c r="F5" s="23">
        <f t="shared" si="1"/>
        <v>7789.0783299524237</v>
      </c>
      <c r="G5" s="23">
        <f t="shared" si="7"/>
        <v>7700.0000000000009</v>
      </c>
      <c r="H5" s="23">
        <f t="shared" si="19"/>
        <v>6299.9999999999991</v>
      </c>
      <c r="I5" s="172">
        <f t="shared" si="8"/>
        <v>0</v>
      </c>
      <c r="J5" s="172">
        <f t="shared" si="9"/>
        <v>0</v>
      </c>
      <c r="K5" s="172">
        <f t="shared" si="10"/>
        <v>0</v>
      </c>
      <c r="L5" s="172">
        <f t="shared" si="11"/>
        <v>0</v>
      </c>
      <c r="M5" s="172">
        <f t="shared" si="12"/>
        <v>0</v>
      </c>
      <c r="N5" s="118">
        <f t="shared" si="13"/>
        <v>0</v>
      </c>
      <c r="O5" s="23">
        <f t="shared" si="14"/>
        <v>0</v>
      </c>
      <c r="P5" s="43">
        <f t="shared" si="2"/>
        <v>0.16726039938286139</v>
      </c>
      <c r="Q5" s="43">
        <f t="shared" si="20"/>
        <v>0.10997110748900157</v>
      </c>
      <c r="R5" s="44">
        <f t="shared" si="3"/>
        <v>3978.3147845221201</v>
      </c>
      <c r="S5" s="173">
        <f t="shared" si="15"/>
        <v>0</v>
      </c>
      <c r="T5" s="173">
        <f t="shared" si="16"/>
        <v>0</v>
      </c>
      <c r="U5" s="173">
        <f t="shared" si="21"/>
        <v>0</v>
      </c>
      <c r="V5" s="173">
        <f t="shared" si="22"/>
        <v>0</v>
      </c>
      <c r="W5" s="173">
        <f t="shared" si="23"/>
        <v>0</v>
      </c>
      <c r="X5" s="118">
        <f t="shared" si="17"/>
        <v>0</v>
      </c>
      <c r="Y5" s="44">
        <f t="shared" si="18"/>
        <v>0</v>
      </c>
    </row>
    <row r="6" spans="1:25" x14ac:dyDescent="0.25">
      <c r="A6" s="14">
        <f>brackets_gross!A15</f>
        <v>16000</v>
      </c>
      <c r="B6" s="44">
        <f t="shared" si="0"/>
        <v>20000</v>
      </c>
      <c r="C6" s="171">
        <f t="shared" si="4"/>
        <v>18000</v>
      </c>
      <c r="D6" s="43">
        <f t="shared" si="5"/>
        <v>0.31143751451543711</v>
      </c>
      <c r="E6" s="43">
        <f t="shared" si="6"/>
        <v>0.10826684626068678</v>
      </c>
      <c r="F6" s="23">
        <f t="shared" si="1"/>
        <v>7833.3228606532093</v>
      </c>
      <c r="G6" s="23">
        <f t="shared" si="7"/>
        <v>9900</v>
      </c>
      <c r="H6" s="23">
        <f t="shared" si="19"/>
        <v>8100</v>
      </c>
      <c r="I6" s="172">
        <f t="shared" si="8"/>
        <v>0</v>
      </c>
      <c r="J6" s="172">
        <f t="shared" si="9"/>
        <v>0</v>
      </c>
      <c r="K6" s="172">
        <f t="shared" si="10"/>
        <v>0</v>
      </c>
      <c r="L6" s="172">
        <f t="shared" si="11"/>
        <v>0</v>
      </c>
      <c r="M6" s="172">
        <f t="shared" si="12"/>
        <v>0</v>
      </c>
      <c r="N6" s="118">
        <f t="shared" si="13"/>
        <v>0</v>
      </c>
      <c r="O6" s="23">
        <f t="shared" si="14"/>
        <v>0</v>
      </c>
      <c r="P6" s="43">
        <f t="shared" si="2"/>
        <v>0.29798954533928396</v>
      </c>
      <c r="Q6" s="43">
        <f t="shared" si="20"/>
        <v>0.13072914595642257</v>
      </c>
      <c r="R6" s="44">
        <f t="shared" si="3"/>
        <v>4729.2575841195421</v>
      </c>
      <c r="S6" s="173">
        <f t="shared" si="15"/>
        <v>0</v>
      </c>
      <c r="T6" s="173">
        <f t="shared" si="16"/>
        <v>0</v>
      </c>
      <c r="U6" s="173">
        <f t="shared" si="21"/>
        <v>0</v>
      </c>
      <c r="V6" s="173">
        <f t="shared" si="22"/>
        <v>0</v>
      </c>
      <c r="W6" s="173">
        <f t="shared" si="23"/>
        <v>0</v>
      </c>
      <c r="X6" s="174">
        <f t="shared" si="17"/>
        <v>0</v>
      </c>
      <c r="Y6" s="44">
        <f t="shared" si="18"/>
        <v>0</v>
      </c>
    </row>
    <row r="7" spans="1:25" x14ac:dyDescent="0.25">
      <c r="A7" s="14">
        <f>brackets_gross!A16</f>
        <v>20000</v>
      </c>
      <c r="B7" s="44">
        <f t="shared" si="0"/>
        <v>24000</v>
      </c>
      <c r="C7" s="171">
        <f t="shared" si="4"/>
        <v>22000</v>
      </c>
      <c r="D7" s="43">
        <f t="shared" si="5"/>
        <v>0.40937038176547325</v>
      </c>
      <c r="E7" s="43">
        <f t="shared" si="6"/>
        <v>9.7932867250036137E-2</v>
      </c>
      <c r="F7" s="23">
        <f t="shared" si="1"/>
        <v>7085.6388112746145</v>
      </c>
      <c r="G7" s="23">
        <f t="shared" si="7"/>
        <v>12100.000000000002</v>
      </c>
      <c r="H7" s="23">
        <f t="shared" si="19"/>
        <v>9899.9999999999982</v>
      </c>
      <c r="I7" s="172">
        <f t="shared" si="8"/>
        <v>0</v>
      </c>
      <c r="J7" s="172">
        <f t="shared" si="9"/>
        <v>0</v>
      </c>
      <c r="K7" s="172">
        <f t="shared" si="10"/>
        <v>0</v>
      </c>
      <c r="L7" s="172">
        <f t="shared" si="11"/>
        <v>0</v>
      </c>
      <c r="M7" s="172">
        <f t="shared" si="12"/>
        <v>0</v>
      </c>
      <c r="N7" s="118">
        <f t="shared" si="13"/>
        <v>0</v>
      </c>
      <c r="O7" s="23">
        <f t="shared" si="14"/>
        <v>0</v>
      </c>
      <c r="P7" s="43">
        <f t="shared" si="2"/>
        <v>0.42352223536727052</v>
      </c>
      <c r="Q7" s="43">
        <f t="shared" si="20"/>
        <v>0.12553269002798656</v>
      </c>
      <c r="R7" s="44">
        <f t="shared" si="3"/>
        <v>4541.2705944524405</v>
      </c>
      <c r="S7" s="173">
        <f t="shared" si="15"/>
        <v>0</v>
      </c>
      <c r="T7" s="173">
        <f t="shared" si="16"/>
        <v>0</v>
      </c>
      <c r="U7" s="173">
        <f t="shared" si="21"/>
        <v>0</v>
      </c>
      <c r="V7" s="173">
        <f t="shared" si="22"/>
        <v>0</v>
      </c>
      <c r="W7" s="173">
        <f t="shared" si="23"/>
        <v>0</v>
      </c>
      <c r="X7" s="174">
        <f t="shared" si="17"/>
        <v>0</v>
      </c>
      <c r="Y7" s="44">
        <f t="shared" si="18"/>
        <v>0</v>
      </c>
    </row>
    <row r="8" spans="1:25" x14ac:dyDescent="0.25">
      <c r="A8" s="14">
        <f>brackets_gross!A17</f>
        <v>24000</v>
      </c>
      <c r="B8" s="44">
        <f t="shared" si="0"/>
        <v>28000</v>
      </c>
      <c r="C8" s="171">
        <f t="shared" si="4"/>
        <v>26000</v>
      </c>
      <c r="D8" s="43">
        <f t="shared" si="5"/>
        <v>0.49417848587550567</v>
      </c>
      <c r="E8" s="43">
        <f t="shared" si="6"/>
        <v>8.4808104110032423E-2</v>
      </c>
      <c r="F8" s="23">
        <f t="shared" si="1"/>
        <v>6136.035948569066</v>
      </c>
      <c r="G8" s="23">
        <f t="shared" si="7"/>
        <v>14300.000000000002</v>
      </c>
      <c r="H8" s="23">
        <f t="shared" si="19"/>
        <v>11699.999999999998</v>
      </c>
      <c r="I8" s="172">
        <f t="shared" si="8"/>
        <v>0</v>
      </c>
      <c r="J8" s="172">
        <f t="shared" si="9"/>
        <v>0</v>
      </c>
      <c r="K8" s="172">
        <f t="shared" si="10"/>
        <v>0</v>
      </c>
      <c r="L8" s="172">
        <f t="shared" si="11"/>
        <v>0</v>
      </c>
      <c r="M8" s="172">
        <f t="shared" si="12"/>
        <v>0</v>
      </c>
      <c r="N8" s="118">
        <f t="shared" si="13"/>
        <v>0</v>
      </c>
      <c r="O8" s="23">
        <f t="shared" si="14"/>
        <v>0</v>
      </c>
      <c r="P8" s="43">
        <f t="shared" si="2"/>
        <v>0.53295653977902324</v>
      </c>
      <c r="Q8" s="43">
        <f t="shared" si="20"/>
        <v>0.10943430441175273</v>
      </c>
      <c r="R8" s="44">
        <f t="shared" si="3"/>
        <v>3958.8953963995659</v>
      </c>
      <c r="S8" s="173">
        <f t="shared" si="15"/>
        <v>0</v>
      </c>
      <c r="T8" s="173">
        <f t="shared" si="16"/>
        <v>0</v>
      </c>
      <c r="U8" s="173">
        <f t="shared" si="21"/>
        <v>0</v>
      </c>
      <c r="V8" s="173">
        <f t="shared" si="22"/>
        <v>0</v>
      </c>
      <c r="W8" s="173">
        <f t="shared" si="23"/>
        <v>0</v>
      </c>
      <c r="X8" s="174">
        <f t="shared" si="17"/>
        <v>0</v>
      </c>
      <c r="Y8" s="44">
        <f t="shared" si="18"/>
        <v>0</v>
      </c>
    </row>
    <row r="9" spans="1:25" x14ac:dyDescent="0.25">
      <c r="A9" s="14">
        <f>brackets_gross!A18</f>
        <v>28000</v>
      </c>
      <c r="B9" s="44">
        <f t="shared" si="0"/>
        <v>32000</v>
      </c>
      <c r="C9" s="171">
        <f t="shared" si="4"/>
        <v>30000</v>
      </c>
      <c r="D9" s="43">
        <f t="shared" si="5"/>
        <v>0.56624618452750275</v>
      </c>
      <c r="E9" s="43">
        <f t="shared" si="6"/>
        <v>7.2067698651997081E-2</v>
      </c>
      <c r="F9" s="23">
        <f t="shared" si="1"/>
        <v>5214.2421328692926</v>
      </c>
      <c r="G9" s="23">
        <f t="shared" si="7"/>
        <v>16500</v>
      </c>
      <c r="H9" s="23">
        <f t="shared" si="19"/>
        <v>13500</v>
      </c>
      <c r="I9" s="172">
        <f t="shared" si="8"/>
        <v>0</v>
      </c>
      <c r="J9" s="172">
        <f t="shared" si="9"/>
        <v>0</v>
      </c>
      <c r="K9" s="172">
        <f t="shared" si="10"/>
        <v>0</v>
      </c>
      <c r="L9" s="172">
        <f t="shared" si="11"/>
        <v>0</v>
      </c>
      <c r="M9" s="172">
        <f t="shared" si="12"/>
        <v>0</v>
      </c>
      <c r="N9" s="118">
        <f t="shared" si="13"/>
        <v>0</v>
      </c>
      <c r="O9" s="23">
        <f t="shared" si="14"/>
        <v>0</v>
      </c>
      <c r="P9" s="43">
        <f t="shared" si="2"/>
        <v>0.62389098475352878</v>
      </c>
      <c r="Q9" s="43">
        <f t="shared" si="20"/>
        <v>9.0934444974505535E-2</v>
      </c>
      <c r="R9" s="44">
        <f t="shared" si="3"/>
        <v>3289.6444813977114</v>
      </c>
      <c r="S9" s="173">
        <f t="shared" si="15"/>
        <v>0</v>
      </c>
      <c r="T9" s="173">
        <f t="shared" si="16"/>
        <v>0</v>
      </c>
      <c r="U9" s="173">
        <f t="shared" si="21"/>
        <v>0</v>
      </c>
      <c r="V9" s="173">
        <f t="shared" si="22"/>
        <v>0</v>
      </c>
      <c r="W9" s="173">
        <f t="shared" si="23"/>
        <v>0</v>
      </c>
      <c r="X9" s="174">
        <f t="shared" si="17"/>
        <v>0</v>
      </c>
      <c r="Y9" s="44">
        <f t="shared" si="18"/>
        <v>0</v>
      </c>
    </row>
    <row r="10" spans="1:25" x14ac:dyDescent="0.25">
      <c r="A10" s="14">
        <f>brackets_gross!A19</f>
        <v>32000</v>
      </c>
      <c r="B10" s="44">
        <f t="shared" si="0"/>
        <v>36000</v>
      </c>
      <c r="C10" s="171">
        <f t="shared" si="4"/>
        <v>34000</v>
      </c>
      <c r="D10" s="43">
        <f t="shared" si="5"/>
        <v>0.62702212494078313</v>
      </c>
      <c r="E10" s="43">
        <f t="shared" si="6"/>
        <v>6.0775940413280383E-2</v>
      </c>
      <c r="F10" s="23">
        <f t="shared" si="1"/>
        <v>4397.2608407816624</v>
      </c>
      <c r="G10" s="23">
        <f t="shared" si="7"/>
        <v>18700</v>
      </c>
      <c r="H10" s="23">
        <f t="shared" si="19"/>
        <v>15300</v>
      </c>
      <c r="I10" s="172">
        <f t="shared" si="8"/>
        <v>0</v>
      </c>
      <c r="J10" s="172">
        <f t="shared" si="9"/>
        <v>0</v>
      </c>
      <c r="K10" s="172">
        <f t="shared" si="10"/>
        <v>0</v>
      </c>
      <c r="L10" s="172">
        <f t="shared" si="11"/>
        <v>0</v>
      </c>
      <c r="M10" s="172">
        <f t="shared" si="12"/>
        <v>0</v>
      </c>
      <c r="N10" s="122">
        <f t="shared" si="13"/>
        <v>0</v>
      </c>
      <c r="O10" s="23">
        <f t="shared" si="14"/>
        <v>0</v>
      </c>
      <c r="P10" s="43">
        <f t="shared" si="2"/>
        <v>0.69761746273079428</v>
      </c>
      <c r="Q10" s="43">
        <f t="shared" si="20"/>
        <v>7.3726477977265503E-2</v>
      </c>
      <c r="R10" s="44">
        <f t="shared" si="3"/>
        <v>2667.1290673055564</v>
      </c>
      <c r="S10" s="173">
        <f t="shared" si="15"/>
        <v>0</v>
      </c>
      <c r="T10" s="173">
        <f t="shared" si="16"/>
        <v>0</v>
      </c>
      <c r="U10" s="173">
        <f t="shared" si="21"/>
        <v>0</v>
      </c>
      <c r="V10" s="173">
        <f t="shared" si="22"/>
        <v>0</v>
      </c>
      <c r="W10" s="173">
        <f t="shared" si="23"/>
        <v>0</v>
      </c>
      <c r="X10" s="174">
        <f t="shared" si="17"/>
        <v>0</v>
      </c>
      <c r="Y10" s="44">
        <f t="shared" si="18"/>
        <v>0</v>
      </c>
    </row>
    <row r="11" spans="1:25" x14ac:dyDescent="0.25">
      <c r="A11" s="14">
        <f>brackets_gross!A20</f>
        <v>36000</v>
      </c>
      <c r="B11" s="44">
        <f t="shared" si="0"/>
        <v>40000</v>
      </c>
      <c r="C11" s="171">
        <f t="shared" si="4"/>
        <v>38000</v>
      </c>
      <c r="D11" s="43">
        <f t="shared" si="5"/>
        <v>0.67817229661770662</v>
      </c>
      <c r="E11" s="43">
        <f t="shared" si="6"/>
        <v>5.1150171676923484E-2</v>
      </c>
      <c r="F11" s="23">
        <f t="shared" si="1"/>
        <v>3700.8172211687679</v>
      </c>
      <c r="G11" s="23">
        <f t="shared" si="7"/>
        <v>20900</v>
      </c>
      <c r="H11" s="23">
        <f t="shared" si="19"/>
        <v>17100</v>
      </c>
      <c r="I11" s="172">
        <f t="shared" si="8"/>
        <v>0</v>
      </c>
      <c r="J11" s="172">
        <f t="shared" si="9"/>
        <v>0</v>
      </c>
      <c r="K11" s="172">
        <f t="shared" si="10"/>
        <v>0</v>
      </c>
      <c r="L11" s="172">
        <f t="shared" si="11"/>
        <v>0</v>
      </c>
      <c r="M11" s="172">
        <f t="shared" si="12"/>
        <v>0</v>
      </c>
      <c r="N11" s="122">
        <f t="shared" si="13"/>
        <v>0</v>
      </c>
      <c r="O11" s="23">
        <f t="shared" si="14"/>
        <v>0</v>
      </c>
      <c r="P11" s="43">
        <f t="shared" si="2"/>
        <v>0.75666018056121909</v>
      </c>
      <c r="Q11" s="43">
        <f t="shared" si="20"/>
        <v>5.9042717830424807E-2</v>
      </c>
      <c r="R11" s="44">
        <f t="shared" si="3"/>
        <v>2135.9293602334474</v>
      </c>
      <c r="S11" s="173">
        <f t="shared" si="15"/>
        <v>0</v>
      </c>
      <c r="T11" s="173">
        <f t="shared" si="16"/>
        <v>0</v>
      </c>
      <c r="U11" s="173">
        <f t="shared" si="21"/>
        <v>0</v>
      </c>
      <c r="V11" s="173">
        <f t="shared" si="22"/>
        <v>0</v>
      </c>
      <c r="W11" s="173">
        <f t="shared" si="23"/>
        <v>0</v>
      </c>
      <c r="X11" s="174">
        <f t="shared" si="17"/>
        <v>0</v>
      </c>
      <c r="Y11" s="44">
        <f t="shared" si="18"/>
        <v>0</v>
      </c>
    </row>
    <row r="12" spans="1:25" x14ac:dyDescent="0.25">
      <c r="A12" s="14">
        <f>brackets_gross!A21</f>
        <v>40000</v>
      </c>
      <c r="B12" s="44">
        <f t="shared" si="0"/>
        <v>44000</v>
      </c>
      <c r="C12" s="171">
        <f t="shared" si="4"/>
        <v>42000</v>
      </c>
      <c r="D12" s="43">
        <f t="shared" si="5"/>
        <v>0.72126095319082129</v>
      </c>
      <c r="E12" s="43">
        <f t="shared" si="6"/>
        <v>4.308865657311467E-2</v>
      </c>
      <c r="F12" s="23">
        <f t="shared" si="1"/>
        <v>3117.5504803779927</v>
      </c>
      <c r="G12" s="23">
        <f t="shared" si="7"/>
        <v>23100.000000000004</v>
      </c>
      <c r="H12" s="23">
        <f t="shared" si="19"/>
        <v>18899.999999999996</v>
      </c>
      <c r="I12" s="172">
        <f t="shared" si="8"/>
        <v>0</v>
      </c>
      <c r="J12" s="172">
        <f t="shared" si="9"/>
        <v>0</v>
      </c>
      <c r="K12" s="172">
        <f t="shared" si="10"/>
        <v>0</v>
      </c>
      <c r="L12" s="172">
        <f t="shared" si="11"/>
        <v>0</v>
      </c>
      <c r="M12" s="172">
        <f t="shared" si="12"/>
        <v>0</v>
      </c>
      <c r="N12" s="122">
        <f t="shared" si="13"/>
        <v>0</v>
      </c>
      <c r="O12" s="23">
        <f t="shared" si="14"/>
        <v>0</v>
      </c>
      <c r="P12" s="43">
        <f t="shared" si="2"/>
        <v>0.80368597546716247</v>
      </c>
      <c r="Q12" s="43">
        <f t="shared" si="20"/>
        <v>4.7025794905943386E-2</v>
      </c>
      <c r="R12" s="44">
        <f t="shared" si="3"/>
        <v>1701.2051565174077</v>
      </c>
      <c r="S12" s="173">
        <f t="shared" si="15"/>
        <v>0</v>
      </c>
      <c r="T12" s="173">
        <f t="shared" si="16"/>
        <v>0</v>
      </c>
      <c r="U12" s="173">
        <f t="shared" si="21"/>
        <v>0</v>
      </c>
      <c r="V12" s="173">
        <f t="shared" si="22"/>
        <v>0</v>
      </c>
      <c r="W12" s="173">
        <f t="shared" si="23"/>
        <v>0</v>
      </c>
      <c r="X12" s="174">
        <f t="shared" si="17"/>
        <v>0</v>
      </c>
      <c r="Y12" s="44">
        <f t="shared" si="18"/>
        <v>0</v>
      </c>
    </row>
    <row r="13" spans="1:25" x14ac:dyDescent="0.25">
      <c r="A13" s="14">
        <f>brackets_gross!A22</f>
        <v>44000</v>
      </c>
      <c r="B13" s="44">
        <f t="shared" si="0"/>
        <v>48000</v>
      </c>
      <c r="C13" s="171">
        <f t="shared" si="4"/>
        <v>46000</v>
      </c>
      <c r="D13" s="43">
        <f t="shared" si="5"/>
        <v>0.75764925869542943</v>
      </c>
      <c r="E13" s="43">
        <f t="shared" si="6"/>
        <v>3.6388305504608143E-2</v>
      </c>
      <c r="F13" s="23">
        <f t="shared" si="1"/>
        <v>2632.7666798694086</v>
      </c>
      <c r="G13" s="23">
        <f t="shared" si="7"/>
        <v>25300.000000000004</v>
      </c>
      <c r="H13" s="23">
        <f t="shared" si="19"/>
        <v>20699.999999999996</v>
      </c>
      <c r="I13" s="172">
        <f t="shared" si="8"/>
        <v>0</v>
      </c>
      <c r="J13" s="172">
        <f t="shared" si="9"/>
        <v>440.87591240875918</v>
      </c>
      <c r="K13" s="172">
        <f t="shared" si="10"/>
        <v>0</v>
      </c>
      <c r="L13" s="172">
        <f t="shared" si="11"/>
        <v>0</v>
      </c>
      <c r="M13" s="172">
        <f t="shared" si="12"/>
        <v>0</v>
      </c>
      <c r="N13" s="122">
        <f t="shared" si="13"/>
        <v>440.87591240875918</v>
      </c>
      <c r="O13" s="23">
        <f t="shared" si="14"/>
        <v>1160723.4121468051</v>
      </c>
      <c r="P13" s="43">
        <f t="shared" si="2"/>
        <v>0.84108586349787673</v>
      </c>
      <c r="Q13" s="43">
        <f t="shared" si="20"/>
        <v>3.7399888030714257E-2</v>
      </c>
      <c r="R13" s="44">
        <f t="shared" si="3"/>
        <v>1352.9783493991188</v>
      </c>
      <c r="S13" s="173">
        <f t="shared" si="15"/>
        <v>0</v>
      </c>
      <c r="T13" s="173">
        <f t="shared" si="16"/>
        <v>440.87591240875918</v>
      </c>
      <c r="U13" s="173">
        <f t="shared" si="21"/>
        <v>0</v>
      </c>
      <c r="V13" s="173">
        <f t="shared" si="22"/>
        <v>0</v>
      </c>
      <c r="W13" s="173">
        <f t="shared" si="23"/>
        <v>0</v>
      </c>
      <c r="X13" s="174">
        <f t="shared" si="17"/>
        <v>440.87591240875918</v>
      </c>
      <c r="Y13" s="44">
        <f t="shared" si="18"/>
        <v>596495.56426063343</v>
      </c>
    </row>
    <row r="14" spans="1:25" x14ac:dyDescent="0.25">
      <c r="A14" s="14">
        <f>brackets_gross!A23</f>
        <v>48000</v>
      </c>
      <c r="B14" s="44">
        <f t="shared" si="0"/>
        <v>52000</v>
      </c>
      <c r="C14" s="171">
        <f t="shared" si="4"/>
        <v>50000</v>
      </c>
      <c r="D14" s="43">
        <f t="shared" si="5"/>
        <v>0.78848149906670617</v>
      </c>
      <c r="E14" s="43">
        <f t="shared" si="6"/>
        <v>3.0832240371276742E-2</v>
      </c>
      <c r="F14" s="23">
        <f t="shared" si="1"/>
        <v>2230.7742553426147</v>
      </c>
      <c r="G14" s="23">
        <f t="shared" si="7"/>
        <v>27500.000000000004</v>
      </c>
      <c r="H14" s="23">
        <f t="shared" si="19"/>
        <v>22499.999999999996</v>
      </c>
      <c r="I14" s="172">
        <f t="shared" si="8"/>
        <v>0</v>
      </c>
      <c r="J14" s="172">
        <f t="shared" si="9"/>
        <v>1240.8759124087592</v>
      </c>
      <c r="K14" s="172">
        <f t="shared" si="10"/>
        <v>0</v>
      </c>
      <c r="L14" s="172">
        <f t="shared" si="11"/>
        <v>0</v>
      </c>
      <c r="M14" s="172">
        <f t="shared" si="12"/>
        <v>0</v>
      </c>
      <c r="N14" s="122">
        <f t="shared" si="13"/>
        <v>1240.8759124087592</v>
      </c>
      <c r="O14" s="23">
        <f t="shared" si="14"/>
        <v>2768114.0394762373</v>
      </c>
      <c r="P14" s="43">
        <f t="shared" si="2"/>
        <v>0.8708579151351048</v>
      </c>
      <c r="Q14" s="43">
        <f t="shared" si="20"/>
        <v>2.977205163722807E-2</v>
      </c>
      <c r="R14" s="44">
        <f t="shared" si="3"/>
        <v>1077.0337400283624</v>
      </c>
      <c r="S14" s="173">
        <f t="shared" si="15"/>
        <v>0</v>
      </c>
      <c r="T14" s="173">
        <f t="shared" si="16"/>
        <v>1240.8759124087592</v>
      </c>
      <c r="U14" s="173">
        <f t="shared" si="21"/>
        <v>0</v>
      </c>
      <c r="V14" s="173">
        <f t="shared" si="22"/>
        <v>0</v>
      </c>
      <c r="W14" s="173">
        <f t="shared" si="23"/>
        <v>0</v>
      </c>
      <c r="X14" s="174">
        <f t="shared" si="17"/>
        <v>1240.8759124087592</v>
      </c>
      <c r="Y14" s="44">
        <f t="shared" si="18"/>
        <v>1336465.2248527126</v>
      </c>
    </row>
    <row r="15" spans="1:25" x14ac:dyDescent="0.25">
      <c r="A15" s="14">
        <f>brackets_gross!A24</f>
        <v>52000</v>
      </c>
      <c r="B15" s="44">
        <f t="shared" si="0"/>
        <v>56000</v>
      </c>
      <c r="C15" s="171">
        <f t="shared" si="4"/>
        <v>54000</v>
      </c>
      <c r="D15" s="43">
        <f t="shared" si="5"/>
        <v>0.81470393705741251</v>
      </c>
      <c r="E15" s="43">
        <f t="shared" si="6"/>
        <v>2.6222437990706338E-2</v>
      </c>
      <c r="F15" s="23">
        <f t="shared" si="1"/>
        <v>1897.2458335035849</v>
      </c>
      <c r="G15" s="23">
        <f t="shared" si="7"/>
        <v>29700.000000000004</v>
      </c>
      <c r="H15" s="23">
        <f t="shared" si="19"/>
        <v>24299.999999999996</v>
      </c>
      <c r="I15" s="172">
        <f t="shared" si="8"/>
        <v>0</v>
      </c>
      <c r="J15" s="172">
        <f t="shared" si="9"/>
        <v>2040.8759124087592</v>
      </c>
      <c r="K15" s="172">
        <f t="shared" si="10"/>
        <v>0</v>
      </c>
      <c r="L15" s="172">
        <f t="shared" si="11"/>
        <v>0</v>
      </c>
      <c r="M15" s="172">
        <f t="shared" si="12"/>
        <v>0</v>
      </c>
      <c r="N15" s="122">
        <f t="shared" si="13"/>
        <v>2040.8759124087592</v>
      </c>
      <c r="O15" s="23">
        <f t="shared" si="14"/>
        <v>3872043.3215153455</v>
      </c>
      <c r="P15" s="43">
        <f t="shared" si="2"/>
        <v>0.89461434975318121</v>
      </c>
      <c r="Q15" s="43">
        <f t="shared" si="20"/>
        <v>2.3756434618076416E-2</v>
      </c>
      <c r="R15" s="44">
        <f t="shared" si="3"/>
        <v>859.41277874353227</v>
      </c>
      <c r="S15" s="173">
        <f t="shared" si="15"/>
        <v>0</v>
      </c>
      <c r="T15" s="173">
        <f t="shared" si="16"/>
        <v>2040.8759124087592</v>
      </c>
      <c r="U15" s="173">
        <f t="shared" si="21"/>
        <v>0</v>
      </c>
      <c r="V15" s="173">
        <f t="shared" si="22"/>
        <v>0</v>
      </c>
      <c r="W15" s="173">
        <f t="shared" si="23"/>
        <v>0</v>
      </c>
      <c r="X15" s="174">
        <f t="shared" si="17"/>
        <v>2040.8759124087592</v>
      </c>
      <c r="Y15" s="44">
        <f t="shared" si="18"/>
        <v>1753954.8389539535</v>
      </c>
    </row>
    <row r="16" spans="1:25" x14ac:dyDescent="0.25">
      <c r="A16" s="14">
        <f>brackets_gross!A25</f>
        <v>56000</v>
      </c>
      <c r="B16" s="44">
        <f t="shared" si="0"/>
        <v>60000</v>
      </c>
      <c r="C16" s="171">
        <f t="shared" si="4"/>
        <v>58000</v>
      </c>
      <c r="D16" s="43">
        <f t="shared" si="5"/>
        <v>0.83709328130539229</v>
      </c>
      <c r="E16" s="43">
        <f t="shared" si="6"/>
        <v>2.2389344247979781E-2</v>
      </c>
      <c r="F16" s="23">
        <f t="shared" si="1"/>
        <v>1619.9138350298331</v>
      </c>
      <c r="G16" s="23">
        <f t="shared" si="7"/>
        <v>31900.000000000004</v>
      </c>
      <c r="H16" s="23">
        <f t="shared" si="19"/>
        <v>26099.999999999996</v>
      </c>
      <c r="I16" s="172">
        <f t="shared" si="8"/>
        <v>0</v>
      </c>
      <c r="J16" s="172">
        <f t="shared" si="9"/>
        <v>2840.8759124087592</v>
      </c>
      <c r="K16" s="172">
        <f t="shared" si="10"/>
        <v>0</v>
      </c>
      <c r="L16" s="172">
        <f t="shared" si="11"/>
        <v>0</v>
      </c>
      <c r="M16" s="172">
        <f t="shared" si="12"/>
        <v>0</v>
      </c>
      <c r="N16" s="122">
        <f t="shared" si="13"/>
        <v>2840.8759124087592</v>
      </c>
      <c r="O16" s="23">
        <f t="shared" si="14"/>
        <v>4601974.1941139493</v>
      </c>
      <c r="P16" s="43">
        <f t="shared" si="2"/>
        <v>0.9136324669428183</v>
      </c>
      <c r="Q16" s="43">
        <f t="shared" si="20"/>
        <v>1.9018117189637085E-2</v>
      </c>
      <c r="R16" s="44">
        <f t="shared" si="3"/>
        <v>687.99940745231106</v>
      </c>
      <c r="S16" s="173">
        <f t="shared" si="15"/>
        <v>0</v>
      </c>
      <c r="T16" s="173">
        <f t="shared" si="16"/>
        <v>2840.8759124087592</v>
      </c>
      <c r="U16" s="173">
        <f t="shared" si="21"/>
        <v>0</v>
      </c>
      <c r="V16" s="173">
        <f t="shared" si="22"/>
        <v>0</v>
      </c>
      <c r="W16" s="173">
        <f t="shared" si="23"/>
        <v>0</v>
      </c>
      <c r="X16" s="174">
        <f t="shared" si="17"/>
        <v>2840.8759124087592</v>
      </c>
      <c r="Y16" s="44">
        <f t="shared" si="18"/>
        <v>1954520.9443827698</v>
      </c>
    </row>
    <row r="17" spans="1:25" x14ac:dyDescent="0.25">
      <c r="A17" s="14">
        <f>brackets_gross!A26</f>
        <v>60000</v>
      </c>
      <c r="B17" s="44">
        <f t="shared" si="0"/>
        <v>64000</v>
      </c>
      <c r="C17" s="171">
        <f t="shared" si="4"/>
        <v>62000</v>
      </c>
      <c r="D17" s="43">
        <f t="shared" si="5"/>
        <v>0.85628544918873328</v>
      </c>
      <c r="E17" s="43">
        <f t="shared" si="6"/>
        <v>1.9192167883340994E-2</v>
      </c>
      <c r="F17" s="23">
        <f t="shared" si="1"/>
        <v>1388.5917306954875</v>
      </c>
      <c r="G17" s="23">
        <f t="shared" si="7"/>
        <v>34100</v>
      </c>
      <c r="H17" s="23">
        <f t="shared" si="19"/>
        <v>27900</v>
      </c>
      <c r="I17" s="172">
        <f t="shared" si="8"/>
        <v>0</v>
      </c>
      <c r="J17" s="172">
        <f t="shared" si="9"/>
        <v>3640.8759124087592</v>
      </c>
      <c r="K17" s="172">
        <f t="shared" si="10"/>
        <v>0</v>
      </c>
      <c r="L17" s="172">
        <f t="shared" si="11"/>
        <v>0</v>
      </c>
      <c r="M17" s="172">
        <f t="shared" si="12"/>
        <v>0</v>
      </c>
      <c r="N17" s="122">
        <f t="shared" si="13"/>
        <v>3640.8759124087592</v>
      </c>
      <c r="O17" s="23">
        <f t="shared" si="14"/>
        <v>5055690.1844591908</v>
      </c>
      <c r="P17" s="43">
        <f t="shared" si="2"/>
        <v>0.92891483621211746</v>
      </c>
      <c r="Q17" s="43">
        <f t="shared" si="20"/>
        <v>1.5282369269299156E-2</v>
      </c>
      <c r="R17" s="44">
        <f t="shared" si="3"/>
        <v>552.85499068616616</v>
      </c>
      <c r="S17" s="173">
        <f t="shared" si="15"/>
        <v>0</v>
      </c>
      <c r="T17" s="173">
        <f t="shared" si="16"/>
        <v>3640.8759124087592</v>
      </c>
      <c r="U17" s="173">
        <f t="shared" si="21"/>
        <v>0</v>
      </c>
      <c r="V17" s="173">
        <f t="shared" si="22"/>
        <v>0</v>
      </c>
      <c r="W17" s="173">
        <f t="shared" si="23"/>
        <v>0</v>
      </c>
      <c r="X17" s="174">
        <f t="shared" si="17"/>
        <v>3640.8759124087592</v>
      </c>
      <c r="Y17" s="44">
        <f t="shared" si="18"/>
        <v>2012876.4186442313</v>
      </c>
    </row>
    <row r="18" spans="1:25" x14ac:dyDescent="0.25">
      <c r="A18" s="14">
        <f>brackets_gross!A27</f>
        <v>64000</v>
      </c>
      <c r="B18" s="44">
        <f t="shared" si="0"/>
        <v>68000</v>
      </c>
      <c r="C18" s="171">
        <f t="shared" si="4"/>
        <v>66000</v>
      </c>
      <c r="D18" s="43">
        <f t="shared" si="5"/>
        <v>0.87280121952850531</v>
      </c>
      <c r="E18" s="43">
        <f t="shared" si="6"/>
        <v>1.6515770339772029E-2</v>
      </c>
      <c r="F18" s="23">
        <f t="shared" si="1"/>
        <v>1194.9490156231859</v>
      </c>
      <c r="G18" s="23">
        <f t="shared" si="7"/>
        <v>36300</v>
      </c>
      <c r="H18" s="23">
        <f t="shared" si="19"/>
        <v>29700</v>
      </c>
      <c r="I18" s="172">
        <f t="shared" si="8"/>
        <v>0</v>
      </c>
      <c r="J18" s="172">
        <f t="shared" si="9"/>
        <v>3818.0884896125763</v>
      </c>
      <c r="K18" s="172">
        <f t="shared" si="10"/>
        <v>778.48427849522886</v>
      </c>
      <c r="L18" s="172">
        <f t="shared" si="11"/>
        <v>0</v>
      </c>
      <c r="M18" s="172">
        <f t="shared" si="12"/>
        <v>0</v>
      </c>
      <c r="N18" s="122">
        <f t="shared" si="13"/>
        <v>4596.5727681078051</v>
      </c>
      <c r="O18" s="23">
        <f t="shared" si="14"/>
        <v>5492670.1044907644</v>
      </c>
      <c r="P18" s="43">
        <f t="shared" si="2"/>
        <v>0.94124514281637706</v>
      </c>
      <c r="Q18" s="43">
        <f t="shared" si="20"/>
        <v>1.23303066042596E-2</v>
      </c>
      <c r="R18" s="44">
        <f t="shared" si="3"/>
        <v>446.0611717156952</v>
      </c>
      <c r="S18" s="173">
        <f t="shared" si="15"/>
        <v>0</v>
      </c>
      <c r="T18" s="173">
        <f t="shared" si="16"/>
        <v>3818.0884896125763</v>
      </c>
      <c r="U18" s="173">
        <f t="shared" si="21"/>
        <v>778.48427849522886</v>
      </c>
      <c r="V18" s="173">
        <f t="shared" si="22"/>
        <v>0</v>
      </c>
      <c r="W18" s="173">
        <f t="shared" si="23"/>
        <v>0</v>
      </c>
      <c r="X18" s="174">
        <f t="shared" si="17"/>
        <v>4596.5727681078051</v>
      </c>
      <c r="Y18" s="44">
        <f t="shared" si="18"/>
        <v>2050352.634818624</v>
      </c>
    </row>
    <row r="19" spans="1:25" x14ac:dyDescent="0.25">
      <c r="A19" s="14">
        <f>brackets_gross!A28</f>
        <v>68000</v>
      </c>
      <c r="B19" s="44">
        <f t="shared" si="0"/>
        <v>72000</v>
      </c>
      <c r="C19" s="171">
        <f t="shared" si="4"/>
        <v>70000</v>
      </c>
      <c r="D19" s="43">
        <f t="shared" si="5"/>
        <v>0.88706788687418214</v>
      </c>
      <c r="E19" s="43">
        <f t="shared" si="6"/>
        <v>1.4266667345676831E-2</v>
      </c>
      <c r="F19" s="23">
        <f t="shared" si="1"/>
        <v>1032.2219157944101</v>
      </c>
      <c r="G19" s="23">
        <f t="shared" si="7"/>
        <v>38500</v>
      </c>
      <c r="H19" s="23">
        <f t="shared" si="19"/>
        <v>31500</v>
      </c>
      <c r="I19" s="172">
        <f t="shared" si="8"/>
        <v>0</v>
      </c>
      <c r="J19" s="172">
        <f t="shared" si="9"/>
        <v>3818.0884896125763</v>
      </c>
      <c r="K19" s="172">
        <f t="shared" si="10"/>
        <v>1778.4842784952289</v>
      </c>
      <c r="L19" s="172">
        <f t="shared" si="11"/>
        <v>0</v>
      </c>
      <c r="M19" s="172">
        <f t="shared" si="12"/>
        <v>0</v>
      </c>
      <c r="N19" s="122">
        <f t="shared" si="13"/>
        <v>5596.5727681078051</v>
      </c>
      <c r="O19" s="23">
        <f t="shared" si="14"/>
        <v>5776905.0645790631</v>
      </c>
      <c r="P19" s="43">
        <f t="shared" si="2"/>
        <v>0.9512353696817234</v>
      </c>
      <c r="Q19" s="43">
        <f t="shared" si="20"/>
        <v>9.9902268653463411E-3</v>
      </c>
      <c r="R19" s="44">
        <f t="shared" si="3"/>
        <v>361.40644708076917</v>
      </c>
      <c r="S19" s="173">
        <f t="shared" si="15"/>
        <v>0</v>
      </c>
      <c r="T19" s="173">
        <f t="shared" si="16"/>
        <v>3818.0884896125763</v>
      </c>
      <c r="U19" s="173">
        <f t="shared" si="21"/>
        <v>1778.4842784952289</v>
      </c>
      <c r="V19" s="173">
        <f t="shared" si="22"/>
        <v>0</v>
      </c>
      <c r="W19" s="173">
        <f t="shared" si="23"/>
        <v>0</v>
      </c>
      <c r="X19" s="174">
        <f t="shared" si="17"/>
        <v>5596.5727681078051</v>
      </c>
      <c r="Y19" s="44">
        <f t="shared" si="18"/>
        <v>2022637.4799508273</v>
      </c>
    </row>
    <row r="20" spans="1:25" x14ac:dyDescent="0.25">
      <c r="A20" s="14">
        <f>brackets_gross!A29</f>
        <v>72000</v>
      </c>
      <c r="B20" s="44">
        <f t="shared" si="0"/>
        <v>76000</v>
      </c>
      <c r="C20" s="171">
        <f t="shared" si="4"/>
        <v>74000</v>
      </c>
      <c r="D20" s="43">
        <f t="shared" si="5"/>
        <v>0.89943704587638096</v>
      </c>
      <c r="E20" s="43">
        <f t="shared" si="6"/>
        <v>1.2369159002198815E-2</v>
      </c>
      <c r="F20" s="23">
        <f t="shared" si="1"/>
        <v>894.93339212708872</v>
      </c>
      <c r="G20" s="23">
        <f t="shared" si="7"/>
        <v>40700</v>
      </c>
      <c r="H20" s="23">
        <f t="shared" si="19"/>
        <v>33300</v>
      </c>
      <c r="I20" s="172">
        <f t="shared" si="8"/>
        <v>0</v>
      </c>
      <c r="J20" s="172">
        <f t="shared" si="9"/>
        <v>3818.0884896125763</v>
      </c>
      <c r="K20" s="172">
        <f t="shared" si="10"/>
        <v>2778.4842784952289</v>
      </c>
      <c r="L20" s="172">
        <f t="shared" si="11"/>
        <v>0</v>
      </c>
      <c r="M20" s="172">
        <f t="shared" si="12"/>
        <v>0</v>
      </c>
      <c r="N20" s="122">
        <f t="shared" si="13"/>
        <v>6596.5727681078051</v>
      </c>
      <c r="O20" s="23">
        <f t="shared" si="14"/>
        <v>5903493.2437758977</v>
      </c>
      <c r="P20" s="43">
        <f t="shared" si="2"/>
        <v>0.95936388163194397</v>
      </c>
      <c r="Q20" s="43">
        <f t="shared" si="20"/>
        <v>8.1285119502205738E-3</v>
      </c>
      <c r="R20" s="44">
        <f t="shared" si="3"/>
        <v>294.05704831117941</v>
      </c>
      <c r="S20" s="173">
        <f t="shared" si="15"/>
        <v>0</v>
      </c>
      <c r="T20" s="173">
        <f t="shared" si="16"/>
        <v>3818.0884896125763</v>
      </c>
      <c r="U20" s="173">
        <f t="shared" si="21"/>
        <v>2778.4842784952289</v>
      </c>
      <c r="V20" s="173">
        <f t="shared" si="22"/>
        <v>0</v>
      </c>
      <c r="W20" s="173">
        <f t="shared" si="23"/>
        <v>0</v>
      </c>
      <c r="X20" s="174">
        <f t="shared" si="17"/>
        <v>6596.5727681078051</v>
      </c>
      <c r="Y20" s="44">
        <f t="shared" si="18"/>
        <v>1939768.7171596873</v>
      </c>
    </row>
    <row r="21" spans="1:25" x14ac:dyDescent="0.25">
      <c r="A21" s="14">
        <f>brackets_gross!A30</f>
        <v>76000</v>
      </c>
      <c r="B21" s="44">
        <f t="shared" si="0"/>
        <v>80000</v>
      </c>
      <c r="C21" s="171">
        <f t="shared" si="4"/>
        <v>78000</v>
      </c>
      <c r="D21" s="43">
        <f t="shared" si="5"/>
        <v>0.91019899259070169</v>
      </c>
      <c r="E21" s="43">
        <f t="shared" si="6"/>
        <v>1.0761946714320736E-2</v>
      </c>
      <c r="F21" s="23">
        <f t="shared" si="1"/>
        <v>778.64836867453391</v>
      </c>
      <c r="G21" s="23">
        <f t="shared" si="7"/>
        <v>42900</v>
      </c>
      <c r="H21" s="23">
        <f t="shared" si="19"/>
        <v>35100</v>
      </c>
      <c r="I21" s="172">
        <f t="shared" si="8"/>
        <v>0</v>
      </c>
      <c r="J21" s="172">
        <f t="shared" si="9"/>
        <v>3818.0884896125763</v>
      </c>
      <c r="K21" s="172">
        <f t="shared" si="10"/>
        <v>3778.4842784952289</v>
      </c>
      <c r="L21" s="172">
        <f t="shared" si="11"/>
        <v>0</v>
      </c>
      <c r="M21" s="172">
        <f t="shared" si="12"/>
        <v>0</v>
      </c>
      <c r="N21" s="122">
        <f t="shared" si="13"/>
        <v>7596.5727681078051</v>
      </c>
      <c r="O21" s="23">
        <f t="shared" si="14"/>
        <v>5915058.9934045309</v>
      </c>
      <c r="P21" s="43">
        <f t="shared" si="2"/>
        <v>0.96600542828303704</v>
      </c>
      <c r="Q21" s="43">
        <f t="shared" si="20"/>
        <v>6.6415466510930665E-3</v>
      </c>
      <c r="R21" s="44">
        <f t="shared" si="3"/>
        <v>240.26459164994273</v>
      </c>
      <c r="S21" s="173">
        <f t="shared" si="15"/>
        <v>0</v>
      </c>
      <c r="T21" s="173">
        <f t="shared" si="16"/>
        <v>3818.0884896125763</v>
      </c>
      <c r="U21" s="173">
        <f t="shared" si="21"/>
        <v>3778.4842784952289</v>
      </c>
      <c r="V21" s="173">
        <f t="shared" si="22"/>
        <v>0</v>
      </c>
      <c r="W21" s="173">
        <f t="shared" si="23"/>
        <v>0</v>
      </c>
      <c r="X21" s="174">
        <f t="shared" si="17"/>
        <v>7596.5727681078051</v>
      </c>
      <c r="Y21" s="44">
        <f t="shared" si="18"/>
        <v>1825187.4540684968</v>
      </c>
    </row>
    <row r="22" spans="1:25" x14ac:dyDescent="0.25">
      <c r="A22" s="14">
        <f>brackets_gross!A31</f>
        <v>80000</v>
      </c>
      <c r="B22" s="44">
        <f t="shared" si="0"/>
        <v>84000</v>
      </c>
      <c r="C22" s="171">
        <f t="shared" si="4"/>
        <v>82000</v>
      </c>
      <c r="D22" s="43">
        <f t="shared" si="5"/>
        <v>0.91959430588823865</v>
      </c>
      <c r="E22" s="43">
        <f t="shared" si="6"/>
        <v>9.3953132975369558E-3</v>
      </c>
      <c r="F22" s="23">
        <f t="shared" si="1"/>
        <v>679.76970770339381</v>
      </c>
      <c r="G22" s="23">
        <f t="shared" si="7"/>
        <v>45100.000000000007</v>
      </c>
      <c r="H22" s="23">
        <f t="shared" si="19"/>
        <v>36899.999999999993</v>
      </c>
      <c r="I22" s="172">
        <f t="shared" si="8"/>
        <v>0</v>
      </c>
      <c r="J22" s="172">
        <f t="shared" si="9"/>
        <v>3818.0884896125763</v>
      </c>
      <c r="K22" s="172">
        <f t="shared" si="10"/>
        <v>4660.3079730597983</v>
      </c>
      <c r="L22" s="172">
        <f t="shared" si="11"/>
        <v>141.81156652251664</v>
      </c>
      <c r="M22" s="172">
        <f t="shared" si="12"/>
        <v>0</v>
      </c>
      <c r="N22" s="122">
        <f t="shared" si="13"/>
        <v>8620.2080291948914</v>
      </c>
      <c r="O22" s="23">
        <f t="shared" si="14"/>
        <v>5859756.2923482601</v>
      </c>
      <c r="P22" s="43">
        <f t="shared" si="2"/>
        <v>0.97145447059655843</v>
      </c>
      <c r="Q22" s="43">
        <f t="shared" si="20"/>
        <v>5.4490423135213906E-3</v>
      </c>
      <c r="R22" s="44">
        <f t="shared" si="3"/>
        <v>197.12455473394979</v>
      </c>
      <c r="S22" s="173">
        <f t="shared" si="15"/>
        <v>0</v>
      </c>
      <c r="T22" s="173">
        <f t="shared" si="16"/>
        <v>3818.0884896125763</v>
      </c>
      <c r="U22" s="173">
        <f t="shared" si="21"/>
        <v>4660.3079730597983</v>
      </c>
      <c r="V22" s="173">
        <f t="shared" si="22"/>
        <v>141.81156652251664</v>
      </c>
      <c r="W22" s="173">
        <f t="shared" si="23"/>
        <v>0</v>
      </c>
      <c r="X22" s="174">
        <f t="shared" si="17"/>
        <v>8620.2080291948914</v>
      </c>
      <c r="Y22" s="44">
        <f t="shared" si="18"/>
        <v>1699254.6694690618</v>
      </c>
    </row>
    <row r="23" spans="1:25" x14ac:dyDescent="0.25">
      <c r="A23" s="14">
        <f>brackets_gross!A32</f>
        <v>84000</v>
      </c>
      <c r="B23" s="44">
        <f t="shared" si="0"/>
        <v>88000</v>
      </c>
      <c r="C23" s="171">
        <f t="shared" si="4"/>
        <v>86000</v>
      </c>
      <c r="D23" s="43">
        <f t="shared" si="5"/>
        <v>0.92782313564817309</v>
      </c>
      <c r="E23" s="43">
        <f t="shared" si="6"/>
        <v>8.2288297599344418E-3</v>
      </c>
      <c r="F23" s="23">
        <f t="shared" si="1"/>
        <v>595.37229079077679</v>
      </c>
      <c r="G23" s="23">
        <f t="shared" si="7"/>
        <v>47300.000000000007</v>
      </c>
      <c r="H23" s="23">
        <f t="shared" si="19"/>
        <v>38699.999999999993</v>
      </c>
      <c r="I23" s="172">
        <f t="shared" si="8"/>
        <v>0</v>
      </c>
      <c r="J23" s="172">
        <f t="shared" si="9"/>
        <v>3818.0884896125763</v>
      </c>
      <c r="K23" s="172">
        <f t="shared" si="10"/>
        <v>4660.3079730597983</v>
      </c>
      <c r="L23" s="172">
        <f t="shared" si="11"/>
        <v>1341.8115665225166</v>
      </c>
      <c r="M23" s="172">
        <f t="shared" si="12"/>
        <v>0</v>
      </c>
      <c r="N23" s="122">
        <f t="shared" si="13"/>
        <v>9820.2080291948914</v>
      </c>
      <c r="O23" s="23">
        <f t="shared" si="14"/>
        <v>5846679.7503837422</v>
      </c>
      <c r="P23" s="43">
        <f t="shared" si="2"/>
        <v>0.97594319304391586</v>
      </c>
      <c r="Q23" s="43">
        <f t="shared" si="20"/>
        <v>4.4887224473574294E-3</v>
      </c>
      <c r="R23" s="44">
        <f t="shared" si="3"/>
        <v>162.38402325560233</v>
      </c>
      <c r="S23" s="173">
        <f t="shared" si="15"/>
        <v>0</v>
      </c>
      <c r="T23" s="173">
        <f t="shared" si="16"/>
        <v>3818.0884896125763</v>
      </c>
      <c r="U23" s="173">
        <f t="shared" si="21"/>
        <v>4660.3079730597983</v>
      </c>
      <c r="V23" s="173">
        <f t="shared" si="22"/>
        <v>1341.8115665225166</v>
      </c>
      <c r="W23" s="173">
        <f t="shared" si="23"/>
        <v>0</v>
      </c>
      <c r="X23" s="174">
        <f t="shared" si="17"/>
        <v>9820.2080291948914</v>
      </c>
      <c r="Y23" s="44">
        <f t="shared" si="18"/>
        <v>1594644.888987636</v>
      </c>
    </row>
    <row r="24" spans="1:25" x14ac:dyDescent="0.25">
      <c r="A24" s="14">
        <f>brackets_gross!A33</f>
        <v>88000</v>
      </c>
      <c r="B24" s="44">
        <f t="shared" si="0"/>
        <v>92000</v>
      </c>
      <c r="C24" s="171">
        <f t="shared" si="4"/>
        <v>90000</v>
      </c>
      <c r="D24" s="43">
        <f t="shared" si="5"/>
        <v>0.93505265025929363</v>
      </c>
      <c r="E24" s="43">
        <f t="shared" si="6"/>
        <v>7.2295146111205355E-3</v>
      </c>
      <c r="F24" s="23">
        <f t="shared" si="1"/>
        <v>523.06984114379293</v>
      </c>
      <c r="G24" s="23">
        <f t="shared" si="7"/>
        <v>49500.000000000007</v>
      </c>
      <c r="H24" s="23">
        <f t="shared" si="19"/>
        <v>40499.999999999993</v>
      </c>
      <c r="I24" s="172">
        <f t="shared" si="8"/>
        <v>0</v>
      </c>
      <c r="J24" s="172">
        <f t="shared" si="9"/>
        <v>3818.0884896125763</v>
      </c>
      <c r="K24" s="172">
        <f t="shared" si="10"/>
        <v>4660.3079730597983</v>
      </c>
      <c r="L24" s="172">
        <f t="shared" si="11"/>
        <v>2541.8115665225164</v>
      </c>
      <c r="M24" s="172">
        <f t="shared" si="12"/>
        <v>0</v>
      </c>
      <c r="N24" s="122">
        <f t="shared" si="13"/>
        <v>11020.208029194891</v>
      </c>
      <c r="O24" s="23">
        <f t="shared" si="14"/>
        <v>5764338.4632025231</v>
      </c>
      <c r="P24" s="43">
        <f t="shared" si="2"/>
        <v>0.97965537074643727</v>
      </c>
      <c r="Q24" s="43">
        <f t="shared" si="20"/>
        <v>3.7121777025214131E-3</v>
      </c>
      <c r="R24" s="44">
        <f t="shared" si="3"/>
        <v>134.2917405664146</v>
      </c>
      <c r="S24" s="173">
        <f t="shared" si="15"/>
        <v>0</v>
      </c>
      <c r="T24" s="173">
        <f t="shared" si="16"/>
        <v>3818.0884896125763</v>
      </c>
      <c r="U24" s="173">
        <f t="shared" si="21"/>
        <v>4660.3079730597983</v>
      </c>
      <c r="V24" s="173">
        <f t="shared" si="22"/>
        <v>2541.8115665225164</v>
      </c>
      <c r="W24" s="173">
        <f t="shared" si="23"/>
        <v>0</v>
      </c>
      <c r="X24" s="174">
        <f t="shared" si="17"/>
        <v>11020.208029194891</v>
      </c>
      <c r="Y24" s="44">
        <f t="shared" si="18"/>
        <v>1479922.9176445596</v>
      </c>
    </row>
    <row r="25" spans="1:25" x14ac:dyDescent="0.25">
      <c r="A25" s="14">
        <f>brackets_gross!A34</f>
        <v>92000</v>
      </c>
      <c r="B25" s="44">
        <f t="shared" ref="B25:B29" si="24">A26</f>
        <v>96000</v>
      </c>
      <c r="C25" s="171">
        <f t="shared" ref="C25:C29" si="25">AVERAGE(A25:B25)</f>
        <v>94000</v>
      </c>
      <c r="D25" s="43">
        <f t="shared" si="5"/>
        <v>0.94142301638600079</v>
      </c>
      <c r="E25" s="43">
        <f t="shared" ref="E25:E29" si="26">D25-D24</f>
        <v>6.370366126707161E-3</v>
      </c>
      <c r="F25" s="23">
        <f t="shared" si="1"/>
        <v>460.90872999951648</v>
      </c>
      <c r="G25" s="23">
        <f t="shared" si="7"/>
        <v>51700.000000000007</v>
      </c>
      <c r="H25" s="23">
        <f t="shared" ref="H25:H29" si="27">C25-G25</f>
        <v>42299.999999999993</v>
      </c>
      <c r="I25" s="172">
        <f t="shared" ref="I25:I29" si="28">MIN(MAX(0,($H25+$G25-B$33)*C$34),C$35)</f>
        <v>0</v>
      </c>
      <c r="J25" s="172">
        <f t="shared" ref="J25:J29" si="29">MIN(MAX(0,($H25+$G25-C$33)*D$34),D$35)</f>
        <v>3818.0884896125763</v>
      </c>
      <c r="K25" s="172">
        <f t="shared" ref="K25:K29" si="30">MIN(MAX(0,($H25+$G25-D$33)*E$34),E$35)</f>
        <v>4660.3079730597983</v>
      </c>
      <c r="L25" s="172">
        <f t="shared" ref="L25:L29" si="31">MIN(MAX(0,($H25+$G25-E$33)*F$34),F$35)</f>
        <v>3741.8115665225164</v>
      </c>
      <c r="M25" s="172">
        <f>MIN(MAX(0,($H25+$G25-F$33)*G$34),G$35)</f>
        <v>0</v>
      </c>
      <c r="N25" s="122">
        <f t="shared" ref="N25:N29" si="32">SUM(I25:M25)</f>
        <v>12220.208029194891</v>
      </c>
      <c r="O25" s="23">
        <f t="shared" ref="O25:O29" si="33">N25*F25</f>
        <v>5632400.5630661119</v>
      </c>
      <c r="P25" s="43">
        <f t="shared" si="2"/>
        <v>0.98273703975803417</v>
      </c>
      <c r="Q25" s="43">
        <f t="shared" ref="Q25:Q29" si="34">P25-P24</f>
        <v>3.0816690115968992E-3</v>
      </c>
      <c r="R25" s="44">
        <f t="shared" si="3"/>
        <v>111.4824581635294</v>
      </c>
      <c r="S25" s="173">
        <f t="shared" ref="S25:S29" si="35">MIN(MAX(0,($C25-B$33)*C$34),C$35)</f>
        <v>0</v>
      </c>
      <c r="T25" s="173">
        <f t="shared" ref="T25:T29" si="36">MIN(MAX(0,($C25-C$33)*D$34),D$35)</f>
        <v>3818.0884896125763</v>
      </c>
      <c r="U25" s="173">
        <f t="shared" ref="U25:U29" si="37">MIN(MAX(0,($C25-D$33)*E$34),E$35)</f>
        <v>4660.3079730597983</v>
      </c>
      <c r="V25" s="173">
        <f t="shared" ref="V25:V29" si="38">MIN(MAX(0,($C25-E$33)*F$34),F$35)</f>
        <v>3741.8115665225164</v>
      </c>
      <c r="W25" s="173">
        <f>MIN(MAX(0,($C25-F$33)*G$34),G$35)</f>
        <v>0</v>
      </c>
      <c r="X25" s="174">
        <f t="shared" ref="X25:X29" si="39">SUM(S25:W25)</f>
        <v>12220.208029194891</v>
      </c>
      <c r="Y25" s="44">
        <f t="shared" ref="Y25:Y29" si="40">X25*R25</f>
        <v>1362338.8303643456</v>
      </c>
    </row>
    <row r="26" spans="1:25" x14ac:dyDescent="0.25">
      <c r="A26" s="14">
        <f>brackets_gross!A35</f>
        <v>96000</v>
      </c>
      <c r="B26" s="44">
        <f t="shared" si="24"/>
        <v>100000</v>
      </c>
      <c r="C26" s="171">
        <f t="shared" si="25"/>
        <v>98000</v>
      </c>
      <c r="D26" s="43">
        <f t="shared" si="5"/>
        <v>0.94705221160815911</v>
      </c>
      <c r="E26" s="43">
        <f t="shared" si="26"/>
        <v>5.629195222158323E-3</v>
      </c>
      <c r="F26" s="23">
        <f t="shared" si="1"/>
        <v>407.28353271359902</v>
      </c>
      <c r="G26" s="23">
        <f t="shared" si="7"/>
        <v>53900.000000000007</v>
      </c>
      <c r="H26" s="23">
        <f t="shared" si="27"/>
        <v>44099.999999999993</v>
      </c>
      <c r="I26" s="172">
        <f t="shared" si="28"/>
        <v>0</v>
      </c>
      <c r="J26" s="172">
        <f t="shared" si="29"/>
        <v>3818.0884896125763</v>
      </c>
      <c r="K26" s="172">
        <f t="shared" si="30"/>
        <v>4660.3079730597983</v>
      </c>
      <c r="L26" s="172">
        <f t="shared" si="31"/>
        <v>4941.8115665225168</v>
      </c>
      <c r="M26" s="172">
        <f>MIN(MAX(0,($H26+$G26-F$33)*G$34),G$35)</f>
        <v>0</v>
      </c>
      <c r="N26" s="122">
        <f t="shared" si="32"/>
        <v>13420.208029194891</v>
      </c>
      <c r="O26" s="23">
        <f t="shared" si="33"/>
        <v>5465829.7358819013</v>
      </c>
      <c r="P26" s="43">
        <f t="shared" si="2"/>
        <v>0.98530471614416393</v>
      </c>
      <c r="Q26" s="43">
        <f t="shared" si="34"/>
        <v>2.567676386129758E-3</v>
      </c>
      <c r="R26" s="44">
        <f t="shared" si="3"/>
        <v>92.888260944630105</v>
      </c>
      <c r="S26" s="173">
        <f t="shared" si="35"/>
        <v>0</v>
      </c>
      <c r="T26" s="173">
        <f t="shared" si="36"/>
        <v>3818.0884896125763</v>
      </c>
      <c r="U26" s="173">
        <f t="shared" si="37"/>
        <v>4660.3079730597983</v>
      </c>
      <c r="V26" s="173">
        <f t="shared" si="38"/>
        <v>4941.8115665225168</v>
      </c>
      <c r="W26" s="173">
        <f>MIN(MAX(0,($C26-F$33)*G$34),G$35)</f>
        <v>0</v>
      </c>
      <c r="X26" s="174">
        <f t="shared" si="39"/>
        <v>13420.208029194891</v>
      </c>
      <c r="Y26" s="44">
        <f t="shared" si="40"/>
        <v>1246579.7853470752</v>
      </c>
    </row>
    <row r="27" spans="1:25" x14ac:dyDescent="0.25">
      <c r="A27" s="14">
        <f>brackets_gross!A36</f>
        <v>100000</v>
      </c>
      <c r="B27" s="44">
        <f t="shared" si="24"/>
        <v>104000</v>
      </c>
      <c r="C27" s="171">
        <f t="shared" si="25"/>
        <v>102000</v>
      </c>
      <c r="D27" s="43">
        <f t="shared" si="5"/>
        <v>0.95203990931561389</v>
      </c>
      <c r="E27" s="43">
        <f t="shared" si="26"/>
        <v>4.9876977074547746E-3</v>
      </c>
      <c r="F27" s="23">
        <f t="shared" si="1"/>
        <v>360.86990452976784</v>
      </c>
      <c r="G27" s="23">
        <f t="shared" si="7"/>
        <v>56100.000000000007</v>
      </c>
      <c r="H27" s="23">
        <f t="shared" si="27"/>
        <v>45899.999999999993</v>
      </c>
      <c r="I27" s="172">
        <f t="shared" si="28"/>
        <v>0</v>
      </c>
      <c r="J27" s="172">
        <f t="shared" si="29"/>
        <v>3818.0884896125763</v>
      </c>
      <c r="K27" s="172">
        <f t="shared" si="30"/>
        <v>4660.3079730597983</v>
      </c>
      <c r="L27" s="172">
        <f t="shared" si="31"/>
        <v>6141.8115665225168</v>
      </c>
      <c r="M27" s="172">
        <f>MIN(MAX(0,($H27+$G27-F$33)*G$34),G$35)</f>
        <v>0</v>
      </c>
      <c r="N27" s="122">
        <f t="shared" si="32"/>
        <v>14620.208029194891</v>
      </c>
      <c r="O27" s="23">
        <f t="shared" si="33"/>
        <v>5275993.0757009061</v>
      </c>
      <c r="P27" s="43">
        <f t="shared" si="2"/>
        <v>0.98745174027705029</v>
      </c>
      <c r="Q27" s="43">
        <f t="shared" si="34"/>
        <v>2.147024132886366E-3</v>
      </c>
      <c r="R27" s="44">
        <f t="shared" si="3"/>
        <v>77.670745031297159</v>
      </c>
      <c r="S27" s="173">
        <f t="shared" si="35"/>
        <v>0</v>
      </c>
      <c r="T27" s="173">
        <f t="shared" si="36"/>
        <v>3818.0884896125763</v>
      </c>
      <c r="U27" s="173">
        <f t="shared" si="37"/>
        <v>4660.3079730597983</v>
      </c>
      <c r="V27" s="173">
        <f t="shared" si="38"/>
        <v>6141.8115665225168</v>
      </c>
      <c r="W27" s="173">
        <f>MIN(MAX(0,($C27-F$33)*G$34),G$35)</f>
        <v>0</v>
      </c>
      <c r="X27" s="174">
        <f t="shared" si="39"/>
        <v>14620.208029194891</v>
      </c>
      <c r="Y27" s="44">
        <f t="shared" si="40"/>
        <v>1135562.45014012</v>
      </c>
    </row>
    <row r="28" spans="1:25" x14ac:dyDescent="0.25">
      <c r="A28" s="14">
        <f>brackets_gross!A37</f>
        <v>104000</v>
      </c>
      <c r="B28" s="44">
        <f t="shared" si="24"/>
        <v>108000</v>
      </c>
      <c r="C28" s="171">
        <f t="shared" si="25"/>
        <v>106000</v>
      </c>
      <c r="D28" s="43">
        <f t="shared" si="5"/>
        <v>0.95647062528685267</v>
      </c>
      <c r="E28" s="43">
        <f t="shared" si="26"/>
        <v>4.4307159712387856E-3</v>
      </c>
      <c r="F28" s="23">
        <f t="shared" si="1"/>
        <v>320.57116195106863</v>
      </c>
      <c r="G28" s="23">
        <f t="shared" si="7"/>
        <v>58300.000000000007</v>
      </c>
      <c r="H28" s="23">
        <f t="shared" si="27"/>
        <v>47699.999999999993</v>
      </c>
      <c r="I28" s="172">
        <f t="shared" si="28"/>
        <v>0</v>
      </c>
      <c r="J28" s="172">
        <f t="shared" si="29"/>
        <v>3818.0884896125763</v>
      </c>
      <c r="K28" s="172">
        <f t="shared" si="30"/>
        <v>4660.3079730597983</v>
      </c>
      <c r="L28" s="172">
        <f t="shared" si="31"/>
        <v>7341.8115665225168</v>
      </c>
      <c r="M28" s="172">
        <f>MIN(MAX(0,($H28+$G28-F$33)*G$34),G$35)</f>
        <v>0</v>
      </c>
      <c r="N28" s="122">
        <f t="shared" si="32"/>
        <v>15820.208029194891</v>
      </c>
      <c r="O28" s="23">
        <f t="shared" si="33"/>
        <v>5071502.4702266315</v>
      </c>
      <c r="P28" s="43">
        <f t="shared" si="2"/>
        <v>0.98925318769312731</v>
      </c>
      <c r="Q28" s="43">
        <f t="shared" si="34"/>
        <v>1.8014474160770177E-3</v>
      </c>
      <c r="R28" s="44">
        <f t="shared" si="3"/>
        <v>65.16916172400218</v>
      </c>
      <c r="S28" s="173">
        <f t="shared" si="35"/>
        <v>0</v>
      </c>
      <c r="T28" s="173">
        <f t="shared" si="36"/>
        <v>3818.0884896125763</v>
      </c>
      <c r="U28" s="173">
        <f t="shared" si="37"/>
        <v>4660.3079730597983</v>
      </c>
      <c r="V28" s="173">
        <f t="shared" si="38"/>
        <v>7341.8115665225168</v>
      </c>
      <c r="W28" s="173">
        <f>MIN(MAX(0,($C28-F$33)*G$34),G$35)</f>
        <v>0</v>
      </c>
      <c r="X28" s="174">
        <f t="shared" si="39"/>
        <v>15820.208029194891</v>
      </c>
      <c r="Y28" s="44">
        <f t="shared" si="40"/>
        <v>1030989.6955619596</v>
      </c>
    </row>
    <row r="29" spans="1:25" x14ac:dyDescent="0.25">
      <c r="A29" s="14">
        <f>brackets_gross!A38</f>
        <v>108000</v>
      </c>
      <c r="B29" s="44">
        <f t="shared" si="24"/>
        <v>112000</v>
      </c>
      <c r="C29" s="171">
        <f t="shared" si="25"/>
        <v>110000</v>
      </c>
      <c r="D29" s="43">
        <f t="shared" si="5"/>
        <v>0.96041627544394603</v>
      </c>
      <c r="E29" s="43">
        <f t="shared" si="26"/>
        <v>3.9456501570933611E-3</v>
      </c>
      <c r="F29" s="23">
        <f t="shared" si="1"/>
        <v>285.47568016601883</v>
      </c>
      <c r="G29" s="23">
        <f t="shared" si="7"/>
        <v>60500.000000000007</v>
      </c>
      <c r="H29" s="23">
        <f t="shared" si="27"/>
        <v>49499.999999999993</v>
      </c>
      <c r="I29" s="172">
        <f t="shared" si="28"/>
        <v>0</v>
      </c>
      <c r="J29" s="172">
        <f t="shared" si="29"/>
        <v>3818.0884896125763</v>
      </c>
      <c r="K29" s="172">
        <f t="shared" si="30"/>
        <v>4660.3079730597983</v>
      </c>
      <c r="L29" s="172">
        <f t="shared" si="31"/>
        <v>8541.8115665225159</v>
      </c>
      <c r="M29" s="172">
        <f>MIN(MAX(0,($H29+$G29-F$33)*G$34),G$35)</f>
        <v>0</v>
      </c>
      <c r="N29" s="122">
        <f t="shared" si="32"/>
        <v>17020.208029194891</v>
      </c>
      <c r="O29" s="23">
        <f t="shared" si="33"/>
        <v>4858855.4637015462</v>
      </c>
      <c r="P29" s="43">
        <f t="shared" si="2"/>
        <v>0.99076968275429644</v>
      </c>
      <c r="Q29" s="43">
        <f t="shared" si="34"/>
        <v>1.5164950611691319E-3</v>
      </c>
      <c r="R29" s="44">
        <f t="shared" si="3"/>
        <v>54.860725332854507</v>
      </c>
      <c r="S29" s="173">
        <f t="shared" si="35"/>
        <v>0</v>
      </c>
      <c r="T29" s="173">
        <f t="shared" si="36"/>
        <v>3818.0884896125763</v>
      </c>
      <c r="U29" s="173">
        <f t="shared" si="37"/>
        <v>4660.3079730597983</v>
      </c>
      <c r="V29" s="173">
        <f t="shared" si="38"/>
        <v>8541.8115665225159</v>
      </c>
      <c r="W29" s="173">
        <f>MIN(MAX(0,($C29-F$33)*G$34),G$35)</f>
        <v>0</v>
      </c>
      <c r="X29" s="174">
        <f t="shared" si="39"/>
        <v>17020.208029194891</v>
      </c>
      <c r="Y29" s="44">
        <f t="shared" si="40"/>
        <v>933740.95779770589</v>
      </c>
    </row>
    <row r="30" spans="1:25" x14ac:dyDescent="0.25">
      <c r="A30" s="14">
        <f>brackets_gross!A39</f>
        <v>112000</v>
      </c>
      <c r="B30" s="44">
        <f t="shared" ref="B30:B31" si="41">A31</f>
        <v>116000</v>
      </c>
      <c r="C30" s="171">
        <f t="shared" ref="C30:C31" si="42">AVERAGE(A30:B30)</f>
        <v>114000</v>
      </c>
      <c r="D30" s="43">
        <f t="shared" ref="D30:D31" si="43">_xlfn.LOGNORM.DIST(A30,$J$34,$J$35,TRUE)</f>
        <v>0.96393826270134841</v>
      </c>
      <c r="E30" s="43">
        <f t="shared" ref="E30:E31" si="44">D30-D29</f>
        <v>3.5219872574023814E-3</v>
      </c>
      <c r="F30" s="23">
        <f t="shared" ref="F30:F31" si="45">$M$34*E30</f>
        <v>254.82282204757709</v>
      </c>
      <c r="G30" s="23">
        <f t="shared" ref="G30:G31" si="46">C30*$L$34</f>
        <v>62700.000000000007</v>
      </c>
      <c r="H30" s="23">
        <f t="shared" ref="H30:H31" si="47">C30-G30</f>
        <v>51299.999999999993</v>
      </c>
      <c r="I30" s="172">
        <f t="shared" ref="I30:I31" si="48">MIN(MAX(0,($H30+$G30-B$33)*C$34),C$35)</f>
        <v>0</v>
      </c>
      <c r="J30" s="172">
        <f t="shared" ref="J30:J31" si="49">MIN(MAX(0,($H30+$G30-C$33)*D$34),D$35)</f>
        <v>3818.0884896125763</v>
      </c>
      <c r="K30" s="172">
        <f t="shared" ref="K30:K31" si="50">MIN(MAX(0,($H30+$G30-D$33)*E$34),E$35)</f>
        <v>4660.3079730597983</v>
      </c>
      <c r="L30" s="172">
        <f t="shared" ref="L30:L31" si="51">MIN(MAX(0,($H30+$G30-E$33)*F$34),F$35)</f>
        <v>9741.8115665225159</v>
      </c>
      <c r="M30" s="172">
        <f t="shared" ref="M30:M31" si="52">MIN(MAX(0,($H30+$G30-F$33)*G$34),G$35)</f>
        <v>0</v>
      </c>
      <c r="N30" s="122">
        <f t="shared" ref="N30:N31" si="53">SUM(I30:M30)</f>
        <v>18220.208029194891</v>
      </c>
      <c r="O30" s="23">
        <f t="shared" ref="O30:O31" si="54">N30*F30</f>
        <v>4642924.8282933654</v>
      </c>
      <c r="P30" s="43">
        <f t="shared" ref="P30:P31" si="55">IFERROR(_xlfn.LOGNORM.DIST(A30,$K$34,$K$35,TRUE),0)</f>
        <v>0.99205037075061542</v>
      </c>
      <c r="Q30" s="43">
        <f t="shared" ref="Q30:Q31" si="56">P30-P29</f>
        <v>1.2806879963189743E-3</v>
      </c>
      <c r="R30" s="44">
        <f t="shared" ref="R30:R31" si="57">$N$34*Q30</f>
        <v>46.330168954835209</v>
      </c>
      <c r="S30" s="173">
        <f t="shared" ref="S30:S31" si="58">MIN(MAX(0,($C30-B$33)*C$34),C$35)</f>
        <v>0</v>
      </c>
      <c r="T30" s="173">
        <f t="shared" ref="T30:T31" si="59">MIN(MAX(0,($C30-C$33)*D$34),D$35)</f>
        <v>3818.0884896125763</v>
      </c>
      <c r="U30" s="173">
        <f t="shared" ref="U30:U31" si="60">MIN(MAX(0,($C30-D$33)*E$34),E$35)</f>
        <v>4660.3079730597983</v>
      </c>
      <c r="V30" s="173">
        <f t="shared" ref="V30:V31" si="61">MIN(MAX(0,($C30-E$33)*F$34),F$35)</f>
        <v>9741.8115665225159</v>
      </c>
      <c r="W30" s="173">
        <f t="shared" ref="W30:W31" si="62">MIN(MAX(0,($C30-F$33)*G$34),G$35)</f>
        <v>0</v>
      </c>
      <c r="X30" s="174">
        <f t="shared" ref="X30:X31" si="63">SUM(S30:W30)</f>
        <v>18220.208029194891</v>
      </c>
      <c r="Y30" s="44">
        <f t="shared" ref="Y30:Y31" si="64">X30*R30</f>
        <v>844145.31638484437</v>
      </c>
    </row>
    <row r="31" spans="1:25" x14ac:dyDescent="0.25">
      <c r="A31" s="14">
        <f>brackets_gross!A40</f>
        <v>116000</v>
      </c>
      <c r="B31" s="44">
        <f t="shared" si="41"/>
        <v>0</v>
      </c>
      <c r="C31" s="171">
        <f t="shared" si="42"/>
        <v>58000</v>
      </c>
      <c r="D31" s="43">
        <f t="shared" si="43"/>
        <v>0.96708918601153582</v>
      </c>
      <c r="E31" s="43">
        <f t="shared" si="44"/>
        <v>3.1509233101874035E-3</v>
      </c>
      <c r="F31" s="23">
        <f t="shared" si="45"/>
        <v>227.97560333867901</v>
      </c>
      <c r="G31" s="23">
        <f t="shared" si="46"/>
        <v>31900.000000000004</v>
      </c>
      <c r="H31" s="23">
        <f t="shared" si="47"/>
        <v>26099.999999999996</v>
      </c>
      <c r="I31" s="172">
        <f t="shared" si="48"/>
        <v>0</v>
      </c>
      <c r="J31" s="172">
        <f t="shared" si="49"/>
        <v>2840.8759124087592</v>
      </c>
      <c r="K31" s="172">
        <f t="shared" si="50"/>
        <v>0</v>
      </c>
      <c r="L31" s="172">
        <f t="shared" si="51"/>
        <v>0</v>
      </c>
      <c r="M31" s="172">
        <f t="shared" si="52"/>
        <v>0</v>
      </c>
      <c r="N31" s="122">
        <f t="shared" si="53"/>
        <v>2840.8759124087592</v>
      </c>
      <c r="O31" s="23">
        <f t="shared" si="54"/>
        <v>647650.40014170704</v>
      </c>
      <c r="P31" s="43">
        <f t="shared" si="55"/>
        <v>0.9931352427717961</v>
      </c>
      <c r="Q31" s="43">
        <f t="shared" si="56"/>
        <v>1.0848720211806828E-3</v>
      </c>
      <c r="R31" s="44">
        <f t="shared" si="57"/>
        <v>39.246330238232375</v>
      </c>
      <c r="S31" s="173">
        <f t="shared" si="58"/>
        <v>0</v>
      </c>
      <c r="T31" s="173">
        <f t="shared" si="59"/>
        <v>2840.8759124087592</v>
      </c>
      <c r="U31" s="173">
        <f t="shared" si="60"/>
        <v>0</v>
      </c>
      <c r="V31" s="173">
        <f t="shared" si="61"/>
        <v>0</v>
      </c>
      <c r="W31" s="173">
        <f t="shared" si="62"/>
        <v>0</v>
      </c>
      <c r="X31" s="174">
        <f t="shared" si="63"/>
        <v>2840.8759124087592</v>
      </c>
      <c r="Y31" s="44">
        <f t="shared" si="64"/>
        <v>111493.95422423388</v>
      </c>
    </row>
    <row r="32" spans="1:25" ht="15.75" thickBot="1" x14ac:dyDescent="0.3">
      <c r="A32" s="18"/>
      <c r="B32" s="18"/>
      <c r="C32" s="77"/>
      <c r="I32" s="13"/>
      <c r="J32" s="18"/>
      <c r="L32"/>
    </row>
    <row r="33" spans="1:25" ht="15.75" thickBot="1" x14ac:dyDescent="0.3">
      <c r="A33" s="154" t="s">
        <v>55</v>
      </c>
      <c r="B33" s="179">
        <v>0</v>
      </c>
      <c r="C33" s="179">
        <f>hh_estimation_old!G33*2</f>
        <v>43795.620437956204</v>
      </c>
      <c r="D33" s="179">
        <f>hh_estimation_old!H33*2</f>
        <v>62886.062886019085</v>
      </c>
      <c r="E33" s="179">
        <f>hh_estimation_old!I33*2</f>
        <v>81527.294778258278</v>
      </c>
      <c r="F33" s="179">
        <f>hh_estimation_old!J33*2</f>
        <v>132542.1803801294</v>
      </c>
      <c r="G33" s="179"/>
      <c r="I33" s="154"/>
      <c r="J33" s="154" t="s">
        <v>46</v>
      </c>
      <c r="K33" s="154" t="s">
        <v>47</v>
      </c>
      <c r="L33" s="154" t="s">
        <v>35</v>
      </c>
      <c r="M33" s="154" t="s">
        <v>42</v>
      </c>
      <c r="N33" s="154" t="s">
        <v>38</v>
      </c>
      <c r="O33" s="13">
        <f>SUM(O2:O32)</f>
        <v>89612603.600908473</v>
      </c>
      <c r="Y33" s="52">
        <f>SUM(Y2:Y32)</f>
        <v>26930932.743013475</v>
      </c>
    </row>
    <row r="34" spans="1:25" ht="15.75" thickBot="1" x14ac:dyDescent="0.3">
      <c r="A34" s="154" t="s">
        <v>6</v>
      </c>
      <c r="B34" s="179"/>
      <c r="C34" s="170">
        <f>hh_estimation_old!G34</f>
        <v>0</v>
      </c>
      <c r="D34" s="170">
        <f>hh_estimation_old!H34</f>
        <v>0.2</v>
      </c>
      <c r="E34" s="170">
        <f>hh_estimation_old!I34</f>
        <v>0.25</v>
      </c>
      <c r="F34" s="170">
        <f>hh_estimation_old!J34</f>
        <v>0.3</v>
      </c>
      <c r="G34" s="170">
        <f>hh_estimation_old!K34</f>
        <v>0.35</v>
      </c>
      <c r="I34" s="154" t="s">
        <v>7</v>
      </c>
      <c r="J34" s="154">
        <f>hh_estimation_old!B34</f>
        <v>10.09820866957805</v>
      </c>
      <c r="K34" s="154">
        <f>hh_estimation_old!C34</f>
        <v>10.03109574729636</v>
      </c>
      <c r="L34" s="170">
        <f>output!B13</f>
        <v>0.55000000000000004</v>
      </c>
      <c r="M34" s="179">
        <f>output!B16</f>
        <v>72352</v>
      </c>
      <c r="N34" s="179">
        <f>output!B17</f>
        <v>36175.999999999993</v>
      </c>
    </row>
    <row r="35" spans="1:25" ht="15.75" thickBot="1" x14ac:dyDescent="0.3">
      <c r="A35" s="154" t="s">
        <v>134</v>
      </c>
      <c r="B35" s="179"/>
      <c r="C35" s="179">
        <f>C33*C34</f>
        <v>0</v>
      </c>
      <c r="D35" s="179">
        <f>(D33-C33)*D34</f>
        <v>3818.0884896125763</v>
      </c>
      <c r="E35" s="179">
        <f t="shared" ref="E35:F35" si="65">(E33-D33)*E34</f>
        <v>4660.3079730597983</v>
      </c>
      <c r="F35" s="179">
        <f t="shared" si="65"/>
        <v>15304.465680561336</v>
      </c>
      <c r="G35" s="179"/>
      <c r="I35" s="154" t="s">
        <v>82</v>
      </c>
      <c r="J35" s="154">
        <f>hh_estimation_old!B35</f>
        <v>0.84969875056161703</v>
      </c>
      <c r="K35" s="154">
        <f>hh_estimation_old!C35</f>
        <v>0.66155658154839625</v>
      </c>
      <c r="L35" s="154" t="s">
        <v>61</v>
      </c>
      <c r="M35" s="180">
        <f>SUM(O33,Y33)</f>
        <v>116543536.34392194</v>
      </c>
      <c r="N35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95E2-BA2A-4571-B6F1-63ABEDA6B1AC}">
  <sheetPr>
    <tabColor theme="6"/>
  </sheetPr>
  <dimension ref="A1:P41"/>
  <sheetViews>
    <sheetView zoomScaleNormal="100" workbookViewId="0">
      <selection activeCell="H34" sqref="H34"/>
    </sheetView>
  </sheetViews>
  <sheetFormatPr defaultRowHeight="15" x14ac:dyDescent="0.25"/>
  <cols>
    <col min="1" max="2" width="6" bestFit="1" customWidth="1"/>
    <col min="3" max="3" width="21" style="40" bestFit="1" customWidth="1"/>
    <col min="4" max="4" width="7.5703125" bestFit="1" customWidth="1"/>
    <col min="5" max="5" width="12.42578125" bestFit="1" customWidth="1"/>
    <col min="6" max="6" width="19.5703125" bestFit="1" customWidth="1"/>
    <col min="7" max="7" width="27" bestFit="1" customWidth="1"/>
    <col min="8" max="8" width="17" bestFit="1" customWidth="1"/>
    <col min="9" max="9" width="5.140625" bestFit="1" customWidth="1"/>
    <col min="10" max="10" width="23.42578125" bestFit="1" customWidth="1"/>
    <col min="11" max="14" width="13.42578125" bestFit="1" customWidth="1"/>
    <col min="15" max="15" width="4.5703125" bestFit="1" customWidth="1"/>
    <col min="16" max="16" width="5.140625" bestFit="1" customWidth="1"/>
    <col min="17" max="18" width="27" bestFit="1" customWidth="1"/>
  </cols>
  <sheetData>
    <row r="1" spans="1:9" ht="15.75" thickBot="1" x14ac:dyDescent="0.3">
      <c r="A1" s="154" t="s">
        <v>10</v>
      </c>
      <c r="B1" s="154" t="s">
        <v>23</v>
      </c>
      <c r="C1" s="164" t="s">
        <v>73</v>
      </c>
      <c r="D1" s="154" t="s">
        <v>23</v>
      </c>
      <c r="E1" s="154" t="s">
        <v>10</v>
      </c>
      <c r="F1" s="154" t="s">
        <v>79</v>
      </c>
      <c r="G1" s="154" t="s">
        <v>81</v>
      </c>
      <c r="H1" s="13"/>
      <c r="I1" s="13"/>
    </row>
    <row r="2" spans="1:9" x14ac:dyDescent="0.25">
      <c r="A2" s="34">
        <f>B2</f>
        <v>0.1</v>
      </c>
      <c r="B2" s="15">
        <v>0.1</v>
      </c>
      <c r="C2" s="163">
        <v>8000</v>
      </c>
      <c r="D2" s="151">
        <f>_xlfn.LOGNORM.DIST($C$2,$E$11,$E$12,FALSE)</f>
        <v>2.4963710522332927E-5</v>
      </c>
      <c r="E2" s="33">
        <f>_xlfn.LOGNORM.DIST($C$2,$E$11,$E$12,TRUE)</f>
        <v>9.5515339722679019E-2</v>
      </c>
      <c r="F2" s="36">
        <f t="shared" ref="F2:F10" si="0">B2*LN(B2/D2)</f>
        <v>0.82955022737703055</v>
      </c>
      <c r="G2" s="98">
        <f>(E2-A2)^2</f>
        <v>2.0112177802980753E-5</v>
      </c>
      <c r="H2" s="13"/>
      <c r="I2" s="13"/>
    </row>
    <row r="3" spans="1:9" x14ac:dyDescent="0.25">
      <c r="A3" s="34">
        <f>A2+0.1</f>
        <v>0.2</v>
      </c>
      <c r="B3" s="16">
        <v>0.1</v>
      </c>
      <c r="C3" s="41">
        <v>11700</v>
      </c>
      <c r="D3" s="151">
        <f>_xlfn.LOGNORM.DIST($C$3,$E$11,$E$12,FALSE)</f>
        <v>2.7720609858981782E-5</v>
      </c>
      <c r="E3" s="33">
        <f>_xlfn.LOGNORM.DIST($C$3,$E$11,$E$12,TRUE)</f>
        <v>0.19485442385481144</v>
      </c>
      <c r="F3" s="37">
        <f t="shared" si="0"/>
        <v>0.81907492902057699</v>
      </c>
      <c r="G3" s="99">
        <f t="shared" ref="G3:G10" si="1">(E3-A3)^2</f>
        <v>2.6476953865933646E-5</v>
      </c>
      <c r="H3" s="13"/>
      <c r="I3" s="13"/>
    </row>
    <row r="4" spans="1:9" x14ac:dyDescent="0.25">
      <c r="A4" s="34">
        <f t="shared" ref="A4:A10" si="2">A3+0.1</f>
        <v>0.30000000000000004</v>
      </c>
      <c r="B4" s="16">
        <v>0.1</v>
      </c>
      <c r="C4" s="41">
        <v>15000</v>
      </c>
      <c r="D4" s="151">
        <f>_xlfn.LOGNORM.DIST($C$4,$E$11,$E$12,FALSE)</f>
        <v>2.6641730107704642E-5</v>
      </c>
      <c r="E4" s="33">
        <f>_xlfn.LOGNORM.DIST($C$4,$E$11,$E$12,TRUE)</f>
        <v>0.28510767307425899</v>
      </c>
      <c r="F4" s="37">
        <f t="shared" si="0"/>
        <v>0.82304466774239027</v>
      </c>
      <c r="G4" s="99">
        <f t="shared" si="1"/>
        <v>2.2178140126315188E-4</v>
      </c>
      <c r="H4" s="13"/>
      <c r="I4" s="13"/>
    </row>
    <row r="5" spans="1:9" x14ac:dyDescent="0.25">
      <c r="A5" s="34">
        <f t="shared" si="2"/>
        <v>0.4</v>
      </c>
      <c r="B5" s="16">
        <v>0.1</v>
      </c>
      <c r="C5" s="41">
        <v>19500</v>
      </c>
      <c r="D5" s="151">
        <f>_xlfn.LOGNORM.DIST($C$5,$E$11,$E$12,FALSE)</f>
        <v>2.3283507035884382E-5</v>
      </c>
      <c r="E5" s="33">
        <f>_xlfn.LOGNORM.DIST($C$5,$E$11,$E$12,TRUE)</f>
        <v>0.39783262643061368</v>
      </c>
      <c r="F5" s="37">
        <f t="shared" si="0"/>
        <v>0.83651802075816184</v>
      </c>
      <c r="G5" s="99">
        <f t="shared" si="1"/>
        <v>4.6975081892745008E-6</v>
      </c>
      <c r="H5" s="13"/>
      <c r="I5" s="13"/>
    </row>
    <row r="6" spans="1:9" x14ac:dyDescent="0.25">
      <c r="A6" s="34">
        <f t="shared" si="2"/>
        <v>0.5</v>
      </c>
      <c r="B6" s="16">
        <v>0.1</v>
      </c>
      <c r="C6" s="41">
        <v>25400</v>
      </c>
      <c r="D6" s="151">
        <f>_xlfn.LOGNORM.DIST($C$6,$E$11,$E$12,FALSE)</f>
        <v>1.8459555434276176E-5</v>
      </c>
      <c r="E6" s="33">
        <f>_xlfn.LOGNORM.DIST($C$6,$E$11,$E$12,TRUE)</f>
        <v>0.52078790858360224</v>
      </c>
      <c r="F6" s="37">
        <f t="shared" si="0"/>
        <v>0.85973433188357762</v>
      </c>
      <c r="G6" s="99">
        <f t="shared" si="1"/>
        <v>4.3213714328020386E-4</v>
      </c>
      <c r="H6" s="13"/>
      <c r="I6" s="13"/>
    </row>
    <row r="7" spans="1:9" x14ac:dyDescent="0.25">
      <c r="A7" s="34">
        <f t="shared" si="2"/>
        <v>0.6</v>
      </c>
      <c r="B7" s="16">
        <v>0.1</v>
      </c>
      <c r="C7" s="41">
        <v>31100</v>
      </c>
      <c r="D7" s="151">
        <f>_xlfn.LOGNORM.DIST($C$7,$E$11,$E$12,FALSE)</f>
        <v>1.4473445081839736E-5</v>
      </c>
      <c r="E7" s="33">
        <f>_xlfn.LOGNORM.DIST($C$7,$E$11,$E$12,TRUE)</f>
        <v>0.61424573852841902</v>
      </c>
      <c r="F7" s="37">
        <f t="shared" si="0"/>
        <v>0.88406098682249279</v>
      </c>
      <c r="G7" s="99">
        <f t="shared" si="1"/>
        <v>2.0294106622008263E-4</v>
      </c>
      <c r="H7" s="13"/>
      <c r="I7" s="13"/>
    </row>
    <row r="8" spans="1:9" x14ac:dyDescent="0.25">
      <c r="A8" s="34">
        <f t="shared" si="2"/>
        <v>0.7</v>
      </c>
      <c r="B8" s="16">
        <v>0.1</v>
      </c>
      <c r="C8" s="41">
        <v>38700</v>
      </c>
      <c r="D8" s="151">
        <f>_xlfn.LOGNORM.DIST($C$8,$E$11,$E$12,FALSE)</f>
        <v>1.0442237770393521E-5</v>
      </c>
      <c r="E8" s="33">
        <f>_xlfn.LOGNORM.DIST($C$8,$E$11,$E$12,TRUE)</f>
        <v>0.70805355096708689</v>
      </c>
      <c r="F8" s="37">
        <f t="shared" si="0"/>
        <v>0.91670665596613865</v>
      </c>
      <c r="G8" s="99">
        <f t="shared" si="1"/>
        <v>6.4859683179466839E-5</v>
      </c>
      <c r="H8" s="13"/>
      <c r="I8" s="13"/>
    </row>
    <row r="9" spans="1:9" x14ac:dyDescent="0.25">
      <c r="A9" s="34">
        <f t="shared" si="2"/>
        <v>0.79999999999999993</v>
      </c>
      <c r="B9" s="16">
        <v>0.1</v>
      </c>
      <c r="C9" s="41">
        <v>48600</v>
      </c>
      <c r="D9" s="151">
        <f>_xlfn.LOGNORM.DIST($C$9,$E$11,$E$12,FALSE)</f>
        <v>6.9262278001303938E-6</v>
      </c>
      <c r="E9" s="33">
        <f>_xlfn.LOGNORM.DIST($C$9,$E$11,$E$12,TRUE)</f>
        <v>0.79268798700307608</v>
      </c>
      <c r="F9" s="37">
        <f t="shared" si="0"/>
        <v>0.95776101289547355</v>
      </c>
      <c r="G9" s="99">
        <f t="shared" si="1"/>
        <v>5.3465534067183385E-5</v>
      </c>
      <c r="H9" s="13"/>
      <c r="I9" s="13"/>
    </row>
    <row r="10" spans="1:9" ht="15.75" thickBot="1" x14ac:dyDescent="0.3">
      <c r="A10" s="35">
        <f t="shared" si="2"/>
        <v>0.89999999999999991</v>
      </c>
      <c r="B10" s="17">
        <v>0.1</v>
      </c>
      <c r="C10" s="42">
        <v>63300</v>
      </c>
      <c r="D10" s="152">
        <f>_xlfn.LOGNORM.DIST($C$10,$E$11,$E$12,FALSE)</f>
        <v>3.9313273722548372E-6</v>
      </c>
      <c r="E10" s="153">
        <f>_xlfn.LOGNORM.DIST($C$10,$E$11,$E$12,TRUE)</f>
        <v>0.87008433123245355</v>
      </c>
      <c r="F10" s="38">
        <f t="shared" si="0"/>
        <v>1.0143948342360607</v>
      </c>
      <c r="G10" s="100">
        <f t="shared" si="1"/>
        <v>8.9494723780954907E-4</v>
      </c>
      <c r="H10" s="13"/>
      <c r="I10" s="13"/>
    </row>
    <row r="11" spans="1:9" ht="15.75" thickBot="1" x14ac:dyDescent="0.3">
      <c r="B11" s="96">
        <f>SUM(B2:B10)</f>
        <v>0.89999999999999991</v>
      </c>
      <c r="C11"/>
      <c r="D11" s="19" t="s">
        <v>8</v>
      </c>
      <c r="E11" s="90">
        <v>10.09820866957805</v>
      </c>
      <c r="F11" s="92">
        <f>SUM(F2:F10)</f>
        <v>7.9408456667019038</v>
      </c>
      <c r="G11" s="92">
        <f>SUM(G2:G10)</f>
        <v>1.9214187056778265E-3</v>
      </c>
      <c r="H11" s="13"/>
      <c r="I11" s="13"/>
    </row>
    <row r="12" spans="1:9" ht="15.75" thickBot="1" x14ac:dyDescent="0.3">
      <c r="D12" s="54" t="s">
        <v>9</v>
      </c>
      <c r="E12" s="91">
        <v>0.84969875056161703</v>
      </c>
      <c r="G12" s="13"/>
      <c r="H12" s="13"/>
      <c r="I12" s="13">
        <v>0</v>
      </c>
    </row>
    <row r="13" spans="1:9" ht="15.75" thickBot="1" x14ac:dyDescent="0.3">
      <c r="G13" s="13"/>
      <c r="H13" s="13"/>
      <c r="I13" s="13"/>
    </row>
    <row r="14" spans="1:9" ht="15.75" thickBot="1" x14ac:dyDescent="0.3">
      <c r="A14" s="33"/>
      <c r="C14" s="164" t="s">
        <v>85</v>
      </c>
      <c r="D14" s="154" t="s">
        <v>23</v>
      </c>
      <c r="E14" s="154" t="s">
        <v>10</v>
      </c>
      <c r="F14" s="154" t="s">
        <v>79</v>
      </c>
      <c r="G14" s="154" t="s">
        <v>81</v>
      </c>
      <c r="H14" s="13"/>
      <c r="I14" s="13"/>
    </row>
    <row r="15" spans="1:9" x14ac:dyDescent="0.25">
      <c r="A15" s="85">
        <f>B15</f>
        <v>0.1</v>
      </c>
      <c r="B15" s="82">
        <v>0.1</v>
      </c>
      <c r="C15" s="79">
        <v>6685</v>
      </c>
      <c r="D15" s="15">
        <f t="shared" ref="D15:D24" si="3">_xlfn.LOGNORM.DIST($C15,$E$25,$E$26,FALSE)</f>
        <v>3.65154547391269E-5</v>
      </c>
      <c r="E15" s="150">
        <f t="shared" ref="E15:E24" si="4">_xlfn.LOGNORM.DIST($C15,$E$25,$E$26,TRUE)</f>
        <v>6.6268122733112361E-2</v>
      </c>
      <c r="F15" s="78">
        <f>B15*LN(B15/D15)</f>
        <v>0.79151898764873563</v>
      </c>
      <c r="G15" s="98">
        <f>(E15-A15)^2</f>
        <v>1.1378395439483715E-3</v>
      </c>
    </row>
    <row r="16" spans="1:9" x14ac:dyDescent="0.25">
      <c r="A16" s="86">
        <f>A15+B16</f>
        <v>0.2</v>
      </c>
      <c r="B16" s="83">
        <v>0.1</v>
      </c>
      <c r="C16" s="80">
        <v>9595</v>
      </c>
      <c r="D16" s="16">
        <f t="shared" si="3"/>
        <v>5.6397202071069359E-5</v>
      </c>
      <c r="E16" s="5">
        <f t="shared" si="4"/>
        <v>0.20645200388434465</v>
      </c>
      <c r="F16" s="71">
        <f t="shared" ref="F16:F24" si="5">B16*LN(B16/D16)</f>
        <v>0.74805059163657495</v>
      </c>
      <c r="G16" s="99">
        <f t="shared" ref="G16:G24" si="6">(E16-A16)^2</f>
        <v>4.1628354123598286E-5</v>
      </c>
      <c r="H16" s="13"/>
    </row>
    <row r="17" spans="1:8" x14ac:dyDescent="0.25">
      <c r="A17" s="86">
        <f t="shared" ref="A17:A24" si="7">A16+B17</f>
        <v>0.30000000000000004</v>
      </c>
      <c r="B17" s="83">
        <v>0.1</v>
      </c>
      <c r="C17" s="80">
        <v>11275</v>
      </c>
      <c r="D17" s="16">
        <f t="shared" si="3"/>
        <v>5.8839303066790756E-5</v>
      </c>
      <c r="E17" s="5">
        <f t="shared" si="4"/>
        <v>0.30405001277168842</v>
      </c>
      <c r="F17" s="71">
        <f t="shared" si="5"/>
        <v>0.7438115413855223</v>
      </c>
      <c r="G17" s="99">
        <f t="shared" si="6"/>
        <v>1.6402603450838927E-5</v>
      </c>
      <c r="H17" s="13"/>
    </row>
    <row r="18" spans="1:8" x14ac:dyDescent="0.25">
      <c r="A18" s="86">
        <f t="shared" si="7"/>
        <v>0.4</v>
      </c>
      <c r="B18" s="83">
        <v>0.1</v>
      </c>
      <c r="C18" s="80">
        <v>12979</v>
      </c>
      <c r="D18" s="16">
        <f t="shared" si="3"/>
        <v>5.6560961032685513E-5</v>
      </c>
      <c r="E18" s="5">
        <f t="shared" si="4"/>
        <v>0.40289820144471927</v>
      </c>
      <c r="F18" s="71">
        <f t="shared" si="5"/>
        <v>0.74776064521421493</v>
      </c>
      <c r="G18" s="99">
        <f t="shared" si="6"/>
        <v>8.3995716141727504E-6</v>
      </c>
      <c r="H18" s="13"/>
    </row>
    <row r="19" spans="1:8" x14ac:dyDescent="0.25">
      <c r="A19" s="86">
        <f t="shared" si="7"/>
        <v>0.5</v>
      </c>
      <c r="B19" s="83">
        <v>0.1</v>
      </c>
      <c r="C19" s="80">
        <v>14853</v>
      </c>
      <c r="D19" s="16">
        <f t="shared" si="3"/>
        <v>5.0938659501483548E-5</v>
      </c>
      <c r="E19" s="5">
        <f t="shared" si="4"/>
        <v>0.50396495581717071</v>
      </c>
      <c r="F19" s="71">
        <f t="shared" si="5"/>
        <v>0.75823033110089166</v>
      </c>
      <c r="G19" s="99">
        <f t="shared" si="6"/>
        <v>1.572087463211587E-5</v>
      </c>
      <c r="H19" s="13"/>
    </row>
    <row r="20" spans="1:8" x14ac:dyDescent="0.25">
      <c r="A20" s="86">
        <f t="shared" si="7"/>
        <v>0.6</v>
      </c>
      <c r="B20" s="83">
        <v>0.1</v>
      </c>
      <c r="C20" s="80">
        <v>17030</v>
      </c>
      <c r="D20" s="16">
        <f t="shared" si="3"/>
        <v>4.2846493888000548E-5</v>
      </c>
      <c r="E20" s="5">
        <f t="shared" si="4"/>
        <v>0.60616751301553151</v>
      </c>
      <c r="F20" s="71">
        <f t="shared" si="5"/>
        <v>0.77553016461912572</v>
      </c>
      <c r="G20" s="99">
        <f t="shared" si="6"/>
        <v>3.8038216796750878E-5</v>
      </c>
      <c r="H20" s="13"/>
    </row>
    <row r="21" spans="1:8" x14ac:dyDescent="0.25">
      <c r="A21" s="86">
        <f t="shared" si="7"/>
        <v>0.7</v>
      </c>
      <c r="B21" s="83">
        <v>0.1</v>
      </c>
      <c r="C21" s="80">
        <v>19414</v>
      </c>
      <c r="D21" s="16">
        <f t="shared" si="3"/>
        <v>3.4083193706434829E-5</v>
      </c>
      <c r="E21" s="5">
        <f t="shared" si="4"/>
        <v>0.69771195488765736</v>
      </c>
      <c r="F21" s="71">
        <f t="shared" si="5"/>
        <v>0.79841210553565378</v>
      </c>
      <c r="G21" s="99">
        <f t="shared" si="6"/>
        <v>5.2351504361148429E-6</v>
      </c>
      <c r="H21" s="13"/>
    </row>
    <row r="22" spans="1:8" x14ac:dyDescent="0.25">
      <c r="A22" s="86">
        <f t="shared" si="7"/>
        <v>0.79999999999999993</v>
      </c>
      <c r="B22" s="83">
        <v>0.1</v>
      </c>
      <c r="C22" s="80">
        <v>22912</v>
      </c>
      <c r="D22" s="16">
        <f t="shared" si="3"/>
        <v>2.3361141226710426E-5</v>
      </c>
      <c r="E22" s="5">
        <f t="shared" si="4"/>
        <v>0.79730455315558657</v>
      </c>
      <c r="F22" s="71">
        <f t="shared" si="5"/>
        <v>0.83618514543203626</v>
      </c>
      <c r="G22" s="99">
        <f t="shared" si="6"/>
        <v>7.2654336910579551E-6</v>
      </c>
      <c r="H22" s="13"/>
    </row>
    <row r="23" spans="1:8" x14ac:dyDescent="0.25">
      <c r="A23" s="86">
        <f t="shared" si="7"/>
        <v>0.89999999999999991</v>
      </c>
      <c r="B23" s="83">
        <v>0.1</v>
      </c>
      <c r="C23" s="80">
        <v>28273</v>
      </c>
      <c r="D23" s="16">
        <f t="shared" si="3"/>
        <v>1.2547892064748114E-5</v>
      </c>
      <c r="E23" s="5">
        <f t="shared" si="4"/>
        <v>0.89079798817407474</v>
      </c>
      <c r="F23" s="71">
        <f t="shared" si="5"/>
        <v>0.89833727764680738</v>
      </c>
      <c r="G23" s="99">
        <f t="shared" si="6"/>
        <v>8.4677021644466712E-5</v>
      </c>
    </row>
    <row r="24" spans="1:8" ht="15.75" thickBot="1" x14ac:dyDescent="0.3">
      <c r="A24" s="87">
        <f t="shared" si="7"/>
        <v>0.99999999999999989</v>
      </c>
      <c r="B24" s="84">
        <v>0.1</v>
      </c>
      <c r="C24" s="81">
        <v>45226</v>
      </c>
      <c r="D24" s="17">
        <f t="shared" si="3"/>
        <v>1.761779833441214E-6</v>
      </c>
      <c r="E24" s="7">
        <f t="shared" si="4"/>
        <v>0.98306994161755401</v>
      </c>
      <c r="F24" s="72">
        <f t="shared" si="5"/>
        <v>1.0946600897907506</v>
      </c>
      <c r="G24" s="99">
        <f t="shared" si="6"/>
        <v>2.8662687683302595E-4</v>
      </c>
    </row>
    <row r="25" spans="1:8" ht="15.75" thickBot="1" x14ac:dyDescent="0.3">
      <c r="D25" s="88" t="s">
        <v>8</v>
      </c>
      <c r="E25" s="90">
        <v>9.600716769112255</v>
      </c>
      <c r="F25" s="92">
        <f>SUM(F15:F24)</f>
        <v>8.1924968800103137</v>
      </c>
      <c r="G25" s="92">
        <f>SUM(G15:G24)</f>
        <v>1.6418336471705137E-3</v>
      </c>
    </row>
    <row r="26" spans="1:8" ht="15.75" thickBot="1" x14ac:dyDescent="0.3">
      <c r="D26" s="88" t="s">
        <v>9</v>
      </c>
      <c r="E26" s="90">
        <v>0.52726254668599293</v>
      </c>
    </row>
    <row r="27" spans="1:8" ht="15.75" thickBot="1" x14ac:dyDescent="0.3"/>
    <row r="28" spans="1:8" ht="15.75" thickBot="1" x14ac:dyDescent="0.3">
      <c r="A28" s="251" t="s">
        <v>75</v>
      </c>
      <c r="B28" s="252"/>
      <c r="C28" s="154" t="s">
        <v>23</v>
      </c>
      <c r="D28" s="154" t="s">
        <v>10</v>
      </c>
      <c r="E28" s="154" t="s">
        <v>45</v>
      </c>
      <c r="F28" s="154" t="s">
        <v>76</v>
      </c>
      <c r="G28" s="154" t="s">
        <v>24</v>
      </c>
      <c r="H28" s="154" t="s">
        <v>80</v>
      </c>
    </row>
    <row r="29" spans="1:8" x14ac:dyDescent="0.25">
      <c r="A29" s="89">
        <v>0</v>
      </c>
      <c r="B29" s="89">
        <v>19500</v>
      </c>
      <c r="C29" s="86">
        <v>0.40799999999999997</v>
      </c>
      <c r="D29" s="86">
        <f>C29</f>
        <v>0.40799999999999997</v>
      </c>
      <c r="E29" s="85">
        <f>_xlfn.LOGNORM.DIST($B29,$D$34,$D$35,FALSE)</f>
        <v>3.0109609323589983E-5</v>
      </c>
      <c r="F29" s="94">
        <f>_xlfn.LOGNORM.DIST($B29,$D$34,$D$35,TRUE)</f>
        <v>0.4085949094083493</v>
      </c>
      <c r="G29" s="37">
        <f>C29*LN(C29/E29)</f>
        <v>3.881784659067165</v>
      </c>
      <c r="H29" s="62">
        <f>(F29-D29)^2</f>
        <v>3.5391720414255126E-7</v>
      </c>
    </row>
    <row r="30" spans="1:8" x14ac:dyDescent="0.25">
      <c r="A30" s="89">
        <f>B29</f>
        <v>19500</v>
      </c>
      <c r="B30" s="89">
        <v>28000</v>
      </c>
      <c r="C30" s="86">
        <v>0.216</v>
      </c>
      <c r="D30" s="86">
        <f>C30+D29</f>
        <v>0.624</v>
      </c>
      <c r="E30" s="86">
        <f t="shared" ref="E30:E32" si="8">_xlfn.LOGNORM.DIST($B30,$D$34,$D$35,FALSE)</f>
        <v>2.0489932789078153E-5</v>
      </c>
      <c r="F30" s="95">
        <f t="shared" ref="F30:F32" si="9">_xlfn.LOGNORM.DIST($B30,$D$34,$D$35,TRUE)</f>
        <v>0.62389098475352878</v>
      </c>
      <c r="G30" s="37">
        <f>C30*LN(C30/E30)</f>
        <v>2.0008296009941433</v>
      </c>
      <c r="H30" s="89">
        <f t="shared" ref="H30:H32" si="10">(F30-D30)^2</f>
        <v>1.1884323963181369E-8</v>
      </c>
    </row>
    <row r="31" spans="1:8" x14ac:dyDescent="0.25">
      <c r="A31" s="89">
        <f t="shared" ref="A31:A33" si="11">B30</f>
        <v>28000</v>
      </c>
      <c r="B31" s="89">
        <v>36300</v>
      </c>
      <c r="C31" s="86">
        <v>0.13800000000000001</v>
      </c>
      <c r="D31" s="86">
        <f t="shared" ref="D31:D33" si="12">C31+D30</f>
        <v>0.76200000000000001</v>
      </c>
      <c r="E31" s="86">
        <f t="shared" si="8"/>
        <v>1.2928379555339024E-5</v>
      </c>
      <c r="F31" s="95">
        <f t="shared" si="9"/>
        <v>0.760572057118308</v>
      </c>
      <c r="G31" s="37">
        <f>C31*LN(C31/E31)</f>
        <v>1.2800306062998921</v>
      </c>
      <c r="H31" s="89">
        <f t="shared" si="10"/>
        <v>2.0390208733748888E-6</v>
      </c>
    </row>
    <row r="32" spans="1:8" x14ac:dyDescent="0.25">
      <c r="A32" s="89">
        <f t="shared" si="11"/>
        <v>36300</v>
      </c>
      <c r="B32" s="89">
        <v>60000</v>
      </c>
      <c r="C32" s="86">
        <v>0.16500000000000001</v>
      </c>
      <c r="D32" s="86">
        <f t="shared" si="12"/>
        <v>0.92700000000000005</v>
      </c>
      <c r="E32" s="86">
        <f t="shared" si="8"/>
        <v>3.4228622177009201E-6</v>
      </c>
      <c r="F32" s="95">
        <f t="shared" si="9"/>
        <v>0.92891483621211746</v>
      </c>
      <c r="G32" s="37">
        <f>C32*LN(C32/E32)</f>
        <v>1.7792319015995794</v>
      </c>
      <c r="H32" s="89">
        <f t="shared" si="10"/>
        <v>3.6665977192361512E-6</v>
      </c>
    </row>
    <row r="33" spans="1:16" ht="15.75" thickBot="1" x14ac:dyDescent="0.3">
      <c r="A33" s="54">
        <f t="shared" si="11"/>
        <v>60000</v>
      </c>
      <c r="B33" s="54"/>
      <c r="C33" s="87">
        <v>7.2999999999999995E-2</v>
      </c>
      <c r="D33" s="87">
        <f t="shared" si="12"/>
        <v>1</v>
      </c>
      <c r="E33" s="93"/>
      <c r="F33" s="39"/>
      <c r="G33" s="38"/>
      <c r="H33" s="54"/>
      <c r="M33" s="13"/>
      <c r="P33" s="13">
        <f>SUM(P24:P32)</f>
        <v>0</v>
      </c>
    </row>
    <row r="34" spans="1:16" ht="15.75" thickBot="1" x14ac:dyDescent="0.3">
      <c r="C34" s="88" t="s">
        <v>8</v>
      </c>
      <c r="D34" s="90">
        <v>10.03109574729636</v>
      </c>
      <c r="G34" s="92">
        <f>SUM(G29:G33)</f>
        <v>8.94187676796078</v>
      </c>
      <c r="H34" s="97">
        <f>SUM(H29:H33)</f>
        <v>6.071420120716773E-6</v>
      </c>
    </row>
    <row r="35" spans="1:16" ht="15.75" thickBot="1" x14ac:dyDescent="0.3">
      <c r="C35" s="88" t="s">
        <v>9</v>
      </c>
      <c r="D35" s="90">
        <v>0.66155658154839625</v>
      </c>
      <c r="G35" s="13"/>
      <c r="H35" s="13"/>
    </row>
    <row r="36" spans="1:16" x14ac:dyDescent="0.25">
      <c r="G36" s="13"/>
      <c r="H36" s="13"/>
    </row>
    <row r="37" spans="1:16" x14ac:dyDescent="0.25">
      <c r="G37" s="13"/>
      <c r="H37" s="13"/>
    </row>
    <row r="38" spans="1:16" x14ac:dyDescent="0.25">
      <c r="G38" s="13"/>
      <c r="H38" s="13"/>
    </row>
    <row r="39" spans="1:16" x14ac:dyDescent="0.25">
      <c r="G39" s="13"/>
      <c r="H39" s="13"/>
    </row>
    <row r="40" spans="1:16" x14ac:dyDescent="0.25">
      <c r="G40" s="13"/>
      <c r="H40" s="13"/>
    </row>
    <row r="41" spans="1:16" x14ac:dyDescent="0.25">
      <c r="G41" s="13"/>
      <c r="H41" s="13"/>
    </row>
  </sheetData>
  <mergeCells count="1">
    <mergeCell ref="A28:B28"/>
  </mergeCells>
  <hyperlinks>
    <hyperlink ref="C1" r:id="rId1" xr:uid="{4A98A859-A294-4895-9E02-1FB0596F90C9}"/>
    <hyperlink ref="C14" r:id="rId2" display="Sofronis PDF" xr:uid="{37A02137-B954-4B37-987C-1BFEE9A3427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brackets_gross</vt:lpstr>
      <vt:lpstr>brackets_taxable</vt:lpstr>
      <vt:lpstr>minimum_wage</vt:lpstr>
      <vt:lpstr>taxable_old</vt:lpstr>
      <vt:lpstr>taxable_new</vt:lpstr>
      <vt:lpstr>taxable_difference</vt:lpstr>
      <vt:lpstr>hh_estimation_old</vt:lpstr>
      <vt:lpstr>hh_estimation_new</vt:lpstr>
      <vt:lpstr>cyprus_income</vt:lpstr>
      <vt:lpstr>cyprus_houses</vt:lpstr>
      <vt:lpstr>output</vt:lpstr>
      <vt:lpstr>budget_housing_legal</vt:lpstr>
      <vt:lpstr>budget_housing</vt:lpstr>
      <vt:lpstr>budget_income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Diomides Mavroyiannis</dc:creator>
  <cp:lastModifiedBy>Dio</cp:lastModifiedBy>
  <dcterms:created xsi:type="dcterms:W3CDTF">2016-12-13T08:58:07Z</dcterms:created>
  <dcterms:modified xsi:type="dcterms:W3CDTF">2022-12-13T20:34:15Z</dcterms:modified>
</cp:coreProperties>
</file>