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andNono\Documents\GitHub\PHD\Consulting Work\Presentation\"/>
    </mc:Choice>
  </mc:AlternateContent>
  <xr:revisionPtr revIDLastSave="0" documentId="13_ncr:1_{1D381607-E85C-4010-A637-7AB275E27FC5}" xr6:coauthVersionLast="47" xr6:coauthVersionMax="47" xr10:uidLastSave="{00000000-0000-0000-0000-000000000000}"/>
  <bookViews>
    <workbookView xWindow="28680" yWindow="-120" windowWidth="29040" windowHeight="15840" activeTab="1" xr2:uid="{4765DE5E-8912-4539-99BA-5449CEADBDD9}"/>
  </bookViews>
  <sheets>
    <sheet name="Revenue-FCFF" sheetId="1" r:id="rId1"/>
    <sheet name="NPV" sheetId="2" r:id="rId2"/>
    <sheet name="Value_of_waiting" sheetId="3" r:id="rId3"/>
    <sheet name="Gordon_Growth" sheetId="5" r:id="rId4"/>
    <sheet name="Exponential Smoothing" sheetId="6" r:id="rId5"/>
    <sheet name="Tax_loss_carry_forward" sheetId="7" r:id="rId6"/>
    <sheet name="Exercise" sheetId="4" r:id="rId7"/>
  </sheets>
  <definedNames>
    <definedName name="solver_adj" localSheetId="6" hidden="1">Exercise!$E$4</definedName>
    <definedName name="solver_adj" localSheetId="4" hidden="1">'Exponential Smoothing'!$A$2</definedName>
    <definedName name="solver_adj" localSheetId="1" hidden="1">NPV!$F$3</definedName>
    <definedName name="solver_adj" localSheetId="2" hidden="1">Value_of_waiting!$H$20</definedName>
    <definedName name="solver_cvg" localSheetId="6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drv" localSheetId="6" hidden="1">1</definedName>
    <definedName name="solver_drv" localSheetId="4" hidden="1">2</definedName>
    <definedName name="solver_drv" localSheetId="1" hidden="1">1</definedName>
    <definedName name="solver_drv" localSheetId="2" hidden="1">2</definedName>
    <definedName name="solver_eng" localSheetId="6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st" localSheetId="6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itr" localSheetId="6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lhs1" localSheetId="4" hidden="1">'Exponential Smoothing'!$A$2</definedName>
    <definedName name="solver_mip" localSheetId="6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ni" localSheetId="6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rt" localSheetId="6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sl" localSheetId="6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neg" localSheetId="6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od" localSheetId="6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um" localSheetId="6" hidden="1">0</definedName>
    <definedName name="solver_num" localSheetId="4" hidden="1">1</definedName>
    <definedName name="solver_num" localSheetId="1" hidden="1">0</definedName>
    <definedName name="solver_num" localSheetId="2" hidden="1">0</definedName>
    <definedName name="solver_nwt" localSheetId="6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opt" localSheetId="6" hidden="1">Exercise!$F$13</definedName>
    <definedName name="solver_opt" localSheetId="4" hidden="1">'Exponential Smoothing'!$H$35</definedName>
    <definedName name="solver_opt" localSheetId="1" hidden="1">NPV!$G$24</definedName>
    <definedName name="solver_opt" localSheetId="2" hidden="1">Value_of_waiting!$J$29</definedName>
    <definedName name="solver_pre" localSheetId="6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rbv" localSheetId="6" hidden="1">1</definedName>
    <definedName name="solver_rbv" localSheetId="4" hidden="1">2</definedName>
    <definedName name="solver_rbv" localSheetId="1" hidden="1">1</definedName>
    <definedName name="solver_rbv" localSheetId="2" hidden="1">2</definedName>
    <definedName name="solver_rel1" localSheetId="4" hidden="1">1</definedName>
    <definedName name="solver_rhs1" localSheetId="4" hidden="1">1</definedName>
    <definedName name="solver_rlx" localSheetId="6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sd" localSheetId="6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scl" localSheetId="6" hidden="1">1</definedName>
    <definedName name="solver_scl" localSheetId="4" hidden="1">2</definedName>
    <definedName name="solver_scl" localSheetId="1" hidden="1">1</definedName>
    <definedName name="solver_scl" localSheetId="2" hidden="1">2</definedName>
    <definedName name="solver_sho" localSheetId="6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sz" localSheetId="6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tim" localSheetId="6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ol" localSheetId="6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yp" localSheetId="6" hidden="1">3</definedName>
    <definedName name="solver_typ" localSheetId="4" hidden="1">3</definedName>
    <definedName name="solver_typ" localSheetId="1" hidden="1">3</definedName>
    <definedName name="solver_typ" localSheetId="2" hidden="1">3</definedName>
    <definedName name="solver_val" localSheetId="6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er" localSheetId="6" hidden="1">3</definedName>
    <definedName name="solver_ver" localSheetId="4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5" l="1"/>
  <c r="D42" i="5"/>
  <c r="D43" i="5" s="1"/>
  <c r="E42" i="5"/>
  <c r="F42" i="5"/>
  <c r="G42" i="5" s="1"/>
  <c r="C43" i="5"/>
  <c r="E43" i="5" s="1"/>
  <c r="C38" i="5"/>
  <c r="E38" i="5" s="1"/>
  <c r="D38" i="5"/>
  <c r="D39" i="5"/>
  <c r="F7" i="2"/>
  <c r="D8" i="2"/>
  <c r="D9" i="2" s="1"/>
  <c r="F8" i="2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F19" i="2" s="1"/>
  <c r="C20" i="2"/>
  <c r="F20" i="2" s="1"/>
  <c r="C21" i="2"/>
  <c r="F21" i="2"/>
  <c r="C22" i="2"/>
  <c r="F22" i="2"/>
  <c r="F43" i="5" l="1"/>
  <c r="G43" i="5" s="1"/>
  <c r="C39" i="5"/>
  <c r="F38" i="5"/>
  <c r="G38" i="5" s="1"/>
  <c r="D40" i="5"/>
  <c r="G9" i="2"/>
  <c r="D10" i="2"/>
  <c r="E9" i="2"/>
  <c r="E8" i="2"/>
  <c r="G8" i="2" s="1"/>
  <c r="D41" i="5" l="1"/>
  <c r="E39" i="5"/>
  <c r="F39" i="5"/>
  <c r="G39" i="5" s="1"/>
  <c r="C40" i="5"/>
  <c r="E10" i="2"/>
  <c r="G10" i="2" s="1"/>
  <c r="D11" i="2"/>
  <c r="F40" i="5" l="1"/>
  <c r="G40" i="5" s="1"/>
  <c r="C41" i="5"/>
  <c r="E40" i="5"/>
  <c r="D12" i="2"/>
  <c r="E11" i="2"/>
  <c r="G11" i="2" s="1"/>
  <c r="F41" i="5" l="1"/>
  <c r="G41" i="5" s="1"/>
  <c r="E41" i="5"/>
  <c r="D13" i="2"/>
  <c r="E12" i="2"/>
  <c r="G12" i="2" s="1"/>
  <c r="D14" i="2" l="1"/>
  <c r="E13" i="2"/>
  <c r="G13" i="2" s="1"/>
  <c r="D15" i="2" l="1"/>
  <c r="E14" i="2"/>
  <c r="G14" i="2" s="1"/>
  <c r="D16" i="2" l="1"/>
  <c r="E15" i="2"/>
  <c r="G15" i="2" s="1"/>
  <c r="D17" i="2" l="1"/>
  <c r="E16" i="2"/>
  <c r="G16" i="2" s="1"/>
  <c r="D18" i="2" l="1"/>
  <c r="E17" i="2"/>
  <c r="G17" i="2" s="1"/>
  <c r="D19" i="2" l="1"/>
  <c r="E18" i="2"/>
  <c r="G18" i="2" s="1"/>
  <c r="D20" i="2" l="1"/>
  <c r="E19" i="2"/>
  <c r="G19" i="2" s="1"/>
  <c r="D21" i="2" l="1"/>
  <c r="E20" i="2"/>
  <c r="G20" i="2" s="1"/>
  <c r="D22" i="2" l="1"/>
  <c r="E22" i="2" s="1"/>
  <c r="G22" i="2" s="1"/>
  <c r="E21" i="2"/>
  <c r="G21" i="2" s="1"/>
  <c r="J33" i="7" l="1"/>
  <c r="J32" i="7"/>
  <c r="J31" i="7"/>
  <c r="J30" i="7"/>
  <c r="J29" i="7"/>
  <c r="J28" i="7"/>
  <c r="D33" i="7"/>
  <c r="D32" i="7"/>
  <c r="D31" i="7"/>
  <c r="D30" i="7"/>
  <c r="D29" i="7"/>
  <c r="D28" i="7"/>
  <c r="J23" i="7"/>
  <c r="J22" i="7"/>
  <c r="J21" i="7"/>
  <c r="J20" i="7"/>
  <c r="J19" i="7"/>
  <c r="J18" i="7"/>
  <c r="D19" i="7"/>
  <c r="D20" i="7"/>
  <c r="D21" i="7"/>
  <c r="D22" i="7"/>
  <c r="D23" i="7"/>
  <c r="D18" i="7"/>
  <c r="G17" i="7"/>
  <c r="F17" i="7"/>
  <c r="E17" i="7"/>
  <c r="E18" i="7" s="1"/>
  <c r="F18" i="7" s="1"/>
  <c r="G18" i="7" s="1"/>
  <c r="D17" i="7"/>
  <c r="M21" i="7"/>
  <c r="L21" i="7"/>
  <c r="M20" i="7"/>
  <c r="L20" i="7"/>
  <c r="M19" i="7"/>
  <c r="L19" i="7"/>
  <c r="M18" i="7"/>
  <c r="L18" i="7"/>
  <c r="J17" i="7"/>
  <c r="K17" i="7" s="1"/>
  <c r="M33" i="7"/>
  <c r="L33" i="7"/>
  <c r="M32" i="7"/>
  <c r="L32" i="7"/>
  <c r="M31" i="7"/>
  <c r="L31" i="7"/>
  <c r="M30" i="7"/>
  <c r="L30" i="7"/>
  <c r="M29" i="7"/>
  <c r="L29" i="7"/>
  <c r="M28" i="7"/>
  <c r="L28" i="7"/>
  <c r="K27" i="7"/>
  <c r="L27" i="7" s="1"/>
  <c r="M27" i="7" s="1"/>
  <c r="J27" i="7"/>
  <c r="C24" i="7"/>
  <c r="I24" i="7"/>
  <c r="I29" i="7"/>
  <c r="I30" i="7"/>
  <c r="I31" i="7"/>
  <c r="I32" i="7"/>
  <c r="I33" i="7"/>
  <c r="I28" i="7"/>
  <c r="D27" i="7"/>
  <c r="E27" i="7" s="1"/>
  <c r="E19" i="7" l="1"/>
  <c r="L17" i="7"/>
  <c r="M17" i="7" s="1"/>
  <c r="K18" i="7" s="1"/>
  <c r="K19" i="7" s="1"/>
  <c r="K20" i="7" s="1"/>
  <c r="K21" i="7" s="1"/>
  <c r="K22" i="7" s="1"/>
  <c r="K28" i="7"/>
  <c r="K29" i="7" s="1"/>
  <c r="K30" i="7" s="1"/>
  <c r="K31" i="7" s="1"/>
  <c r="K32" i="7" s="1"/>
  <c r="K33" i="7" s="1"/>
  <c r="F27" i="7"/>
  <c r="F19" i="7" l="1"/>
  <c r="G19" i="7" s="1"/>
  <c r="E20" i="7" s="1"/>
  <c r="L22" i="7"/>
  <c r="M22" i="7" s="1"/>
  <c r="K23" i="7"/>
  <c r="L23" i="7" s="1"/>
  <c r="M23" i="7" s="1"/>
  <c r="G27" i="7"/>
  <c r="E28" i="7" s="1"/>
  <c r="F28" i="7" s="1"/>
  <c r="F20" i="7" l="1"/>
  <c r="G20" i="7" s="1"/>
  <c r="E21" i="7" s="1"/>
  <c r="G28" i="7"/>
  <c r="E29" i="7" s="1"/>
  <c r="F29" i="7" s="1"/>
  <c r="F21" i="7" l="1"/>
  <c r="G21" i="7" s="1"/>
  <c r="E22" i="7" s="1"/>
  <c r="G29" i="7"/>
  <c r="E30" i="7" s="1"/>
  <c r="F30" i="7" s="1"/>
  <c r="F22" i="7" l="1"/>
  <c r="G22" i="7" s="1"/>
  <c r="E23" i="7" s="1"/>
  <c r="F23" i="7" s="1"/>
  <c r="G23" i="7" s="1"/>
  <c r="G30" i="7"/>
  <c r="E31" i="7" s="1"/>
  <c r="F31" i="7" s="1"/>
  <c r="L24" i="7" l="1"/>
  <c r="G31" i="7"/>
  <c r="E32" i="7" s="1"/>
  <c r="F32" i="7" s="1"/>
  <c r="G32" i="7" s="1"/>
  <c r="E33" i="7" s="1"/>
  <c r="F33" i="7" s="1"/>
  <c r="G33" i="7" l="1"/>
  <c r="F34" i="7"/>
  <c r="F24" i="7" l="1"/>
  <c r="F4" i="6" l="1"/>
  <c r="F5" i="6"/>
  <c r="F6" i="6"/>
  <c r="F7" i="6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" i="6"/>
  <c r="F2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" i="6"/>
  <c r="E35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F8" i="4"/>
  <c r="F9" i="4"/>
  <c r="F10" i="4"/>
  <c r="F11" i="4"/>
  <c r="F7" i="4"/>
  <c r="F6" i="4"/>
  <c r="K6" i="5"/>
  <c r="D4" i="5"/>
  <c r="D5" i="5" s="1"/>
  <c r="D3" i="5"/>
  <c r="D2" i="5"/>
  <c r="G3" i="5"/>
  <c r="G2" i="5"/>
  <c r="E2" i="5"/>
  <c r="F2" i="5"/>
  <c r="C3" i="5"/>
  <c r="F3" i="5" s="1"/>
  <c r="M12" i="3"/>
  <c r="N12" i="3" s="1"/>
  <c r="M13" i="3"/>
  <c r="N13" i="3" s="1"/>
  <c r="M14" i="3"/>
  <c r="M15" i="3"/>
  <c r="M11" i="3"/>
  <c r="M10" i="3"/>
  <c r="D8" i="4"/>
  <c r="D9" i="4" s="1"/>
  <c r="D10" i="4" s="1"/>
  <c r="D11" i="4" s="1"/>
  <c r="E6" i="4"/>
  <c r="E3" i="2"/>
  <c r="E7" i="2" s="1"/>
  <c r="G7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J9" i="1"/>
  <c r="K10" i="3"/>
  <c r="L10" i="3" s="1"/>
  <c r="I10" i="3"/>
  <c r="E9" i="3"/>
  <c r="K11" i="3"/>
  <c r="L11" i="3" s="1"/>
  <c r="K12" i="3"/>
  <c r="L12" i="3" s="1"/>
  <c r="K13" i="3"/>
  <c r="L13" i="3" s="1"/>
  <c r="K14" i="3"/>
  <c r="L14" i="3" s="1"/>
  <c r="K15" i="3"/>
  <c r="L15" i="3" s="1"/>
  <c r="I11" i="3"/>
  <c r="I12" i="3"/>
  <c r="I13" i="3"/>
  <c r="I14" i="3"/>
  <c r="I15" i="3"/>
  <c r="J15" i="3" s="1"/>
  <c r="H11" i="3"/>
  <c r="H12" i="3"/>
  <c r="H13" i="3"/>
  <c r="H14" i="3"/>
  <c r="H15" i="3"/>
  <c r="H10" i="3"/>
  <c r="N11" i="3"/>
  <c r="N15" i="3"/>
  <c r="E10" i="3"/>
  <c r="E11" i="3"/>
  <c r="E12" i="3"/>
  <c r="E13" i="3"/>
  <c r="E14" i="3"/>
  <c r="D10" i="3"/>
  <c r="F10" i="3" s="1"/>
  <c r="C11" i="3"/>
  <c r="D11" i="3" s="1"/>
  <c r="F11" i="3" s="1"/>
  <c r="D9" i="3"/>
  <c r="J28" i="1"/>
  <c r="J29" i="1"/>
  <c r="J30" i="1"/>
  <c r="J31" i="1"/>
  <c r="F28" i="1"/>
  <c r="F29" i="1"/>
  <c r="F30" i="1"/>
  <c r="F31" i="1"/>
  <c r="E31" i="1"/>
  <c r="E30" i="1"/>
  <c r="E29" i="1"/>
  <c r="E28" i="1"/>
  <c r="B26" i="1"/>
  <c r="B24" i="1"/>
  <c r="B9" i="1"/>
  <c r="L34" i="7" l="1"/>
  <c r="H3" i="6"/>
  <c r="H4" i="6"/>
  <c r="F13" i="4"/>
  <c r="D6" i="5"/>
  <c r="G5" i="5"/>
  <c r="G4" i="5"/>
  <c r="C4" i="5"/>
  <c r="E3" i="5"/>
  <c r="L16" i="3"/>
  <c r="J13" i="3"/>
  <c r="J14" i="3"/>
  <c r="J12" i="3"/>
  <c r="J16" i="3" s="1"/>
  <c r="N10" i="3"/>
  <c r="N14" i="3"/>
  <c r="J11" i="3"/>
  <c r="J10" i="3"/>
  <c r="F9" i="3"/>
  <c r="C12" i="3"/>
  <c r="H5" i="6" l="1"/>
  <c r="D7" i="5"/>
  <c r="G6" i="5"/>
  <c r="E4" i="5"/>
  <c r="F4" i="5"/>
  <c r="C5" i="5"/>
  <c r="N16" i="3"/>
  <c r="C13" i="3"/>
  <c r="D12" i="3"/>
  <c r="H6" i="6" l="1"/>
  <c r="D8" i="5"/>
  <c r="G7" i="5"/>
  <c r="F5" i="5"/>
  <c r="E5" i="5"/>
  <c r="C6" i="5"/>
  <c r="F12" i="3"/>
  <c r="C14" i="3"/>
  <c r="D13" i="3"/>
  <c r="I28" i="1"/>
  <c r="I29" i="1"/>
  <c r="I30" i="1"/>
  <c r="I31" i="1"/>
  <c r="B32" i="1"/>
  <c r="B10" i="1"/>
  <c r="B7" i="1"/>
  <c r="I22" i="1"/>
  <c r="J22" i="1" s="1"/>
  <c r="I21" i="1"/>
  <c r="J21" i="1" s="1"/>
  <c r="I19" i="1"/>
  <c r="J19" i="1" s="1"/>
  <c r="I18" i="1"/>
  <c r="J18" i="1" s="1"/>
  <c r="I16" i="1"/>
  <c r="J16" i="1" s="1"/>
  <c r="I15" i="1"/>
  <c r="J15" i="1" s="1"/>
  <c r="I14" i="1"/>
  <c r="J14" i="1" s="1"/>
  <c r="I5" i="1"/>
  <c r="J5" i="1" s="1"/>
  <c r="I3" i="1"/>
  <c r="J3" i="1" s="1"/>
  <c r="I2" i="1"/>
  <c r="I4" i="1" s="1"/>
  <c r="E22" i="1"/>
  <c r="E21" i="1"/>
  <c r="E19" i="1"/>
  <c r="F19" i="1" s="1"/>
  <c r="E18" i="1"/>
  <c r="E20" i="1" s="1"/>
  <c r="E16" i="1"/>
  <c r="F16" i="1" s="1"/>
  <c r="E15" i="1"/>
  <c r="F15" i="1" s="1"/>
  <c r="E14" i="1"/>
  <c r="F14" i="1" s="1"/>
  <c r="E5" i="1"/>
  <c r="F5" i="1" s="1"/>
  <c r="E3" i="1"/>
  <c r="F3" i="1" s="1"/>
  <c r="E2" i="1"/>
  <c r="F2" i="1" s="1"/>
  <c r="B20" i="1"/>
  <c r="B23" i="1"/>
  <c r="B4" i="1"/>
  <c r="H7" i="6" l="1"/>
  <c r="D9" i="5"/>
  <c r="G8" i="5"/>
  <c r="E6" i="5"/>
  <c r="F6" i="5"/>
  <c r="C7" i="5"/>
  <c r="F21" i="1"/>
  <c r="E32" i="1"/>
  <c r="F32" i="1" s="1"/>
  <c r="F13" i="3"/>
  <c r="D14" i="3"/>
  <c r="J4" i="1"/>
  <c r="I7" i="1"/>
  <c r="J7" i="1" s="1"/>
  <c r="J2" i="1"/>
  <c r="I32" i="1"/>
  <c r="J32" i="1" s="1"/>
  <c r="E23" i="1"/>
  <c r="F23" i="1" s="1"/>
  <c r="E10" i="1"/>
  <c r="F10" i="1" s="1"/>
  <c r="I10" i="1"/>
  <c r="J10" i="1" s="1"/>
  <c r="F20" i="1"/>
  <c r="F22" i="1"/>
  <c r="E7" i="1"/>
  <c r="F7" i="1" s="1"/>
  <c r="I20" i="1"/>
  <c r="J20" i="1" s="1"/>
  <c r="E4" i="1"/>
  <c r="B6" i="1"/>
  <c r="F18" i="1"/>
  <c r="I23" i="1"/>
  <c r="J23" i="1" s="1"/>
  <c r="I6" i="1"/>
  <c r="I8" i="1"/>
  <c r="I9" i="1" s="1"/>
  <c r="I26" i="1" s="1"/>
  <c r="H8" i="6" l="1"/>
  <c r="G9" i="5"/>
  <c r="D10" i="5"/>
  <c r="E7" i="5"/>
  <c r="C8" i="5"/>
  <c r="F7" i="5"/>
  <c r="F14" i="3"/>
  <c r="F16" i="3" s="1"/>
  <c r="J6" i="1"/>
  <c r="B8" i="1"/>
  <c r="I11" i="1"/>
  <c r="B11" i="1"/>
  <c r="F4" i="1"/>
  <c r="E6" i="1"/>
  <c r="H9" i="6" l="1"/>
  <c r="D11" i="5"/>
  <c r="G10" i="5"/>
  <c r="E8" i="5"/>
  <c r="C9" i="5"/>
  <c r="F8" i="5"/>
  <c r="J8" i="1"/>
  <c r="I12" i="1"/>
  <c r="J11" i="1"/>
  <c r="B12" i="1"/>
  <c r="F6" i="1"/>
  <c r="E11" i="1"/>
  <c r="E12" i="1" s="1"/>
  <c r="E8" i="1"/>
  <c r="E9" i="1" s="1"/>
  <c r="E26" i="1" l="1"/>
  <c r="F9" i="1"/>
  <c r="H10" i="6"/>
  <c r="D12" i="5"/>
  <c r="G11" i="5"/>
  <c r="E9" i="5"/>
  <c r="C10" i="5"/>
  <c r="F9" i="5"/>
  <c r="J12" i="1"/>
  <c r="B13" i="1"/>
  <c r="B17" i="1" s="1"/>
  <c r="F8" i="1"/>
  <c r="F11" i="1"/>
  <c r="I13" i="1"/>
  <c r="H11" i="6" l="1"/>
  <c r="D13" i="5"/>
  <c r="G12" i="5"/>
  <c r="E10" i="5"/>
  <c r="C11" i="5"/>
  <c r="F10" i="5"/>
  <c r="J26" i="1"/>
  <c r="B25" i="1"/>
  <c r="I17" i="1"/>
  <c r="J17" i="1" s="1"/>
  <c r="J13" i="1"/>
  <c r="F12" i="1"/>
  <c r="E13" i="1"/>
  <c r="E17" i="1" s="1"/>
  <c r="F26" i="1"/>
  <c r="H12" i="6" l="1"/>
  <c r="D14" i="5"/>
  <c r="G13" i="5"/>
  <c r="E11" i="5"/>
  <c r="C12" i="5"/>
  <c r="F11" i="5"/>
  <c r="I24" i="1"/>
  <c r="J24" i="1" s="1"/>
  <c r="I25" i="1"/>
  <c r="J25" i="1" s="1"/>
  <c r="F13" i="1"/>
  <c r="H13" i="6" l="1"/>
  <c r="D15" i="5"/>
  <c r="G14" i="5"/>
  <c r="E12" i="5"/>
  <c r="F12" i="5"/>
  <c r="C13" i="5"/>
  <c r="F17" i="1"/>
  <c r="E25" i="1"/>
  <c r="F25" i="1" s="1"/>
  <c r="E24" i="1"/>
  <c r="F24" i="1" s="1"/>
  <c r="H14" i="6" l="1"/>
  <c r="D16" i="5"/>
  <c r="G15" i="5"/>
  <c r="E13" i="5"/>
  <c r="C14" i="5"/>
  <c r="F13" i="5"/>
  <c r="H15" i="6" l="1"/>
  <c r="D17" i="5"/>
  <c r="G16" i="5"/>
  <c r="E14" i="5"/>
  <c r="F14" i="5"/>
  <c r="C15" i="5"/>
  <c r="H16" i="6" l="1"/>
  <c r="D18" i="5"/>
  <c r="G17" i="5"/>
  <c r="E15" i="5"/>
  <c r="C16" i="5"/>
  <c r="F15" i="5"/>
  <c r="G25" i="2" l="1"/>
  <c r="H17" i="6"/>
  <c r="D19" i="5"/>
  <c r="G18" i="5"/>
  <c r="E16" i="5"/>
  <c r="C17" i="5"/>
  <c r="F16" i="5"/>
  <c r="G24" i="2"/>
  <c r="G3" i="2" s="1"/>
  <c r="H18" i="6" l="1"/>
  <c r="D20" i="5"/>
  <c r="G19" i="5"/>
  <c r="E17" i="5"/>
  <c r="C18" i="5"/>
  <c r="F17" i="5"/>
  <c r="H19" i="6" l="1"/>
  <c r="D21" i="5"/>
  <c r="G20" i="5"/>
  <c r="E18" i="5"/>
  <c r="C19" i="5"/>
  <c r="F18" i="5"/>
  <c r="H20" i="6" l="1"/>
  <c r="D22" i="5"/>
  <c r="G21" i="5"/>
  <c r="E19" i="5"/>
  <c r="F19" i="5"/>
  <c r="C20" i="5"/>
  <c r="H21" i="6" l="1"/>
  <c r="D23" i="5"/>
  <c r="G22" i="5"/>
  <c r="E20" i="5"/>
  <c r="C21" i="5"/>
  <c r="F20" i="5"/>
  <c r="H22" i="6" l="1"/>
  <c r="D24" i="5"/>
  <c r="G23" i="5"/>
  <c r="E21" i="5"/>
  <c r="C22" i="5"/>
  <c r="F21" i="5"/>
  <c r="H23" i="6" l="1"/>
  <c r="D25" i="5"/>
  <c r="G24" i="5"/>
  <c r="E22" i="5"/>
  <c r="C23" i="5"/>
  <c r="F22" i="5"/>
  <c r="H24" i="6" l="1"/>
  <c r="D26" i="5"/>
  <c r="G25" i="5"/>
  <c r="E23" i="5"/>
  <c r="C24" i="5"/>
  <c r="F23" i="5"/>
  <c r="H25" i="6" l="1"/>
  <c r="D27" i="5"/>
  <c r="G26" i="5"/>
  <c r="E24" i="5"/>
  <c r="C25" i="5"/>
  <c r="F24" i="5"/>
  <c r="H26" i="6" l="1"/>
  <c r="D28" i="5"/>
  <c r="G27" i="5"/>
  <c r="E25" i="5"/>
  <c r="C26" i="5"/>
  <c r="F25" i="5"/>
  <c r="H27" i="6" l="1"/>
  <c r="D29" i="5"/>
  <c r="G28" i="5"/>
  <c r="E26" i="5"/>
  <c r="C27" i="5"/>
  <c r="F26" i="5"/>
  <c r="H28" i="6" l="1"/>
  <c r="D30" i="5"/>
  <c r="G29" i="5"/>
  <c r="E27" i="5"/>
  <c r="C28" i="5"/>
  <c r="F27" i="5"/>
  <c r="H29" i="6" l="1"/>
  <c r="D31" i="5"/>
  <c r="G30" i="5"/>
  <c r="E28" i="5"/>
  <c r="F28" i="5"/>
  <c r="C29" i="5"/>
  <c r="H30" i="6" l="1"/>
  <c r="D32" i="5"/>
  <c r="G31" i="5"/>
  <c r="E29" i="5"/>
  <c r="F29" i="5"/>
  <c r="C30" i="5"/>
  <c r="H31" i="6" l="1"/>
  <c r="D33" i="5"/>
  <c r="G32" i="5"/>
  <c r="E30" i="5"/>
  <c r="C31" i="5"/>
  <c r="F30" i="5"/>
  <c r="H33" i="6" l="1"/>
  <c r="H32" i="6"/>
  <c r="D34" i="5"/>
  <c r="G33" i="5"/>
  <c r="E31" i="5"/>
  <c r="C32" i="5"/>
  <c r="F31" i="5"/>
  <c r="H35" i="6" l="1"/>
  <c r="D35" i="5"/>
  <c r="G34" i="5"/>
  <c r="E32" i="5"/>
  <c r="F32" i="5"/>
  <c r="C33" i="5"/>
  <c r="D36" i="5" l="1"/>
  <c r="G35" i="5"/>
  <c r="E33" i="5"/>
  <c r="C34" i="5"/>
  <c r="F33" i="5"/>
  <c r="D37" i="5" l="1"/>
  <c r="G37" i="5" s="1"/>
  <c r="G36" i="5"/>
  <c r="E34" i="5"/>
  <c r="C35" i="5"/>
  <c r="F34" i="5"/>
  <c r="E35" i="5" l="1"/>
  <c r="F35" i="5"/>
  <c r="C36" i="5"/>
  <c r="E36" i="5" l="1"/>
  <c r="F36" i="5"/>
  <c r="C37" i="5"/>
  <c r="F37" i="5" l="1"/>
  <c r="E37" i="5"/>
</calcChain>
</file>

<file path=xl/sharedStrings.xml><?xml version="1.0" encoding="utf-8"?>
<sst xmlns="http://schemas.openxmlformats.org/spreadsheetml/2006/main" count="127" uniqueCount="87">
  <si>
    <t>Revenue</t>
  </si>
  <si>
    <t>COGS</t>
  </si>
  <si>
    <t>Gross profit</t>
  </si>
  <si>
    <t>Depreciation</t>
  </si>
  <si>
    <t>SG&amp;A</t>
  </si>
  <si>
    <t>EBIT</t>
  </si>
  <si>
    <t>EBITDA</t>
  </si>
  <si>
    <t>Tax</t>
  </si>
  <si>
    <t>Delta Receivables</t>
  </si>
  <si>
    <t>Delta Payables</t>
  </si>
  <si>
    <t>If people owe you more, that means your cash flow decreases</t>
  </si>
  <si>
    <t>if you owe people more, cash flows increase</t>
  </si>
  <si>
    <t>If you have more inventory, then you have less cash flows</t>
  </si>
  <si>
    <t>Cash from ops</t>
  </si>
  <si>
    <t>Business acquisition</t>
  </si>
  <si>
    <t>Cash from Investing</t>
  </si>
  <si>
    <t>Cash from Financing</t>
  </si>
  <si>
    <t>Debt Issuance</t>
  </si>
  <si>
    <t>Free cash flow</t>
  </si>
  <si>
    <t>Equity issuance</t>
  </si>
  <si>
    <t>Free cash flow to equity</t>
  </si>
  <si>
    <t>Free Cash flow to firm</t>
  </si>
  <si>
    <t>Cash flow available to investors(levered cash flow)</t>
  </si>
  <si>
    <t>Cash flow available to firm(unlevered cash flow)</t>
  </si>
  <si>
    <t>EBT</t>
  </si>
  <si>
    <t>Delta Inventory/NWC</t>
  </si>
  <si>
    <t>E(Net Earnings)</t>
  </si>
  <si>
    <t>Change</t>
  </si>
  <si>
    <t>Initial</t>
  </si>
  <si>
    <t>New</t>
  </si>
  <si>
    <t>Delta</t>
  </si>
  <si>
    <t>CAPEX(PP&amp;E)</t>
  </si>
  <si>
    <t>Interest Payment</t>
  </si>
  <si>
    <t>Cost of equity</t>
  </si>
  <si>
    <t>Cost of debt</t>
  </si>
  <si>
    <t>WACC</t>
  </si>
  <si>
    <t>Cash flow you didn't pay for</t>
  </si>
  <si>
    <t>Tax rate</t>
  </si>
  <si>
    <t>Depreciation(years)</t>
  </si>
  <si>
    <t>NOPAT</t>
  </si>
  <si>
    <t>Discounter</t>
  </si>
  <si>
    <t>Year</t>
  </si>
  <si>
    <t>NPV</t>
  </si>
  <si>
    <t>Price now</t>
  </si>
  <si>
    <t>Present_Value</t>
  </si>
  <si>
    <t>Quantity</t>
  </si>
  <si>
    <t>Good scenario</t>
  </si>
  <si>
    <t>Bad Scenario</t>
  </si>
  <si>
    <t>Cash_good</t>
  </si>
  <si>
    <t>Cash_bad</t>
  </si>
  <si>
    <t>Cash</t>
  </si>
  <si>
    <t xml:space="preserve">Year </t>
  </si>
  <si>
    <t>Present_after_one_year_good</t>
  </si>
  <si>
    <t>Present_after_one_year_bad</t>
  </si>
  <si>
    <t>Discounter+1</t>
  </si>
  <si>
    <t>Year+1</t>
  </si>
  <si>
    <t>Price</t>
  </si>
  <si>
    <t>Total</t>
  </si>
  <si>
    <t>Cost</t>
  </si>
  <si>
    <t>Sum</t>
  </si>
  <si>
    <t>subsidy_rate</t>
  </si>
  <si>
    <t>Requited Investment</t>
  </si>
  <si>
    <t>Initial Cost</t>
  </si>
  <si>
    <t>IRR</t>
  </si>
  <si>
    <t>ROI</t>
  </si>
  <si>
    <t>Growth</t>
  </si>
  <si>
    <t>Discounted_Cash</t>
  </si>
  <si>
    <t>Gordon</t>
  </si>
  <si>
    <t>Grower</t>
  </si>
  <si>
    <t>Sales</t>
  </si>
  <si>
    <t>Forecast</t>
  </si>
  <si>
    <t>Alpha</t>
  </si>
  <si>
    <t>Quarter</t>
  </si>
  <si>
    <t>Time</t>
  </si>
  <si>
    <t>Trend</t>
  </si>
  <si>
    <t>Gamme</t>
  </si>
  <si>
    <t>carry forward years</t>
  </si>
  <si>
    <t>tax rate</t>
  </si>
  <si>
    <t>Earnings</t>
  </si>
  <si>
    <t>Yearly_Tax_carry</t>
  </si>
  <si>
    <t>Accumulated</t>
  </si>
  <si>
    <t>Taxable Earnings</t>
  </si>
  <si>
    <t>Used</t>
  </si>
  <si>
    <t>Taxes paid</t>
  </si>
  <si>
    <t>List of Tax loss Carry forward</t>
  </si>
  <si>
    <t>https://taxfoundation.org/net-operating-loss-policies-oecd/</t>
  </si>
  <si>
    <t>Payback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</si>
</sst>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"/>
    <numFmt numFmtId="167" formatCode="_(* #,##0.000_);_(* \(#,##0.000\);_(* &quot;-&quot;??_);_(@_)"/>
    <numFmt numFmtId="168" formatCode="0.0"/>
    <numFmt numFmtId="169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5">
    <xf numFmtId="0" fontId="0" fillId="0" borderId="0" xfId="0"/>
    <xf numFmtId="164" fontId="0" fillId="0" borderId="0" xfId="1" applyNumberFormat="1" applyFont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1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9" xfId="1" applyNumberFormat="1" applyFont="1" applyBorder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3" borderId="9" xfId="0" applyFill="1" applyBorder="1"/>
    <xf numFmtId="0" fontId="0" fillId="4" borderId="9" xfId="0" applyFill="1" applyBorder="1"/>
    <xf numFmtId="0" fontId="0" fillId="7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2" xfId="0" applyBorder="1"/>
    <xf numFmtId="0" fontId="0" fillId="0" borderId="1" xfId="0" applyBorder="1"/>
    <xf numFmtId="165" fontId="0" fillId="0" borderId="8" xfId="2" applyNumberFormat="1" applyFont="1" applyBorder="1"/>
    <xf numFmtId="165" fontId="0" fillId="0" borderId="9" xfId="2" applyNumberFormat="1" applyFont="1" applyBorder="1"/>
    <xf numFmtId="165" fontId="0" fillId="0" borderId="10" xfId="2" applyNumberFormat="1" applyFont="1" applyBorder="1"/>
    <xf numFmtId="166" fontId="0" fillId="0" borderId="0" xfId="0" applyNumberFormat="1"/>
    <xf numFmtId="165" fontId="0" fillId="0" borderId="11" xfId="2" applyNumberFormat="1" applyFont="1" applyBorder="1"/>
    <xf numFmtId="164" fontId="0" fillId="0" borderId="12" xfId="1" applyNumberFormat="1" applyFont="1" applyBorder="1"/>
    <xf numFmtId="165" fontId="0" fillId="0" borderId="12" xfId="2" applyNumberFormat="1" applyFont="1" applyBorder="1"/>
    <xf numFmtId="165" fontId="0" fillId="0" borderId="13" xfId="2" applyNumberFormat="1" applyFont="1" applyBorder="1"/>
    <xf numFmtId="165" fontId="0" fillId="0" borderId="15" xfId="2" applyNumberFormat="1" applyFont="1" applyBorder="1"/>
    <xf numFmtId="167" fontId="0" fillId="0" borderId="17" xfId="1" applyNumberFormat="1" applyFont="1" applyBorder="1"/>
    <xf numFmtId="165" fontId="0" fillId="0" borderId="19" xfId="2" applyNumberFormat="1" applyFont="1" applyBorder="1"/>
    <xf numFmtId="164" fontId="0" fillId="0" borderId="20" xfId="1" applyNumberFormat="1" applyFont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9" fontId="0" fillId="0" borderId="21" xfId="0" applyNumberFormat="1" applyBorder="1"/>
    <xf numFmtId="9" fontId="0" fillId="0" borderId="22" xfId="0" applyNumberFormat="1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3" xfId="0" applyNumberFormat="1" applyBorder="1"/>
    <xf numFmtId="168" fontId="0" fillId="0" borderId="0" xfId="0" applyNumberFormat="1"/>
    <xf numFmtId="0" fontId="0" fillId="2" borderId="24" xfId="0" applyFill="1" applyBorder="1"/>
    <xf numFmtId="0" fontId="0" fillId="2" borderId="4" xfId="0" applyFill="1" applyBorder="1"/>
    <xf numFmtId="0" fontId="0" fillId="2" borderId="3" xfId="0" applyFill="1" applyBorder="1"/>
    <xf numFmtId="168" fontId="0" fillId="2" borderId="3" xfId="0" applyNumberFormat="1" applyFill="1" applyBorder="1"/>
    <xf numFmtId="0" fontId="0" fillId="8" borderId="24" xfId="0" applyFill="1" applyBorder="1"/>
    <xf numFmtId="0" fontId="0" fillId="8" borderId="4" xfId="0" applyFill="1" applyBorder="1"/>
    <xf numFmtId="168" fontId="0" fillId="8" borderId="4" xfId="0" applyNumberFormat="1" applyFill="1" applyBorder="1"/>
    <xf numFmtId="168" fontId="0" fillId="8" borderId="3" xfId="0" applyNumberFormat="1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4" xfId="0" applyFill="1" applyBorder="1"/>
    <xf numFmtId="168" fontId="0" fillId="9" borderId="4" xfId="0" applyNumberFormat="1" applyFill="1" applyBorder="1"/>
    <xf numFmtId="0" fontId="0" fillId="9" borderId="3" xfId="0" applyFill="1" applyBorder="1"/>
    <xf numFmtId="168" fontId="0" fillId="9" borderId="3" xfId="0" applyNumberFormat="1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4" xfId="0" applyFill="1" applyBorder="1"/>
    <xf numFmtId="2" fontId="0" fillId="6" borderId="4" xfId="0" applyNumberFormat="1" applyFill="1" applyBorder="1"/>
    <xf numFmtId="0" fontId="0" fillId="6" borderId="3" xfId="0" applyFill="1" applyBorder="1"/>
    <xf numFmtId="2" fontId="0" fillId="6" borderId="3" xfId="0" applyNumberFormat="1" applyFill="1" applyBorder="1"/>
    <xf numFmtId="168" fontId="0" fillId="2" borderId="4" xfId="0" applyNumberFormat="1" applyFill="1" applyBorder="1"/>
    <xf numFmtId="10" fontId="0" fillId="6" borderId="26" xfId="2" applyNumberFormat="1" applyFont="1" applyFill="1" applyBorder="1"/>
    <xf numFmtId="0" fontId="2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0" borderId="16" xfId="0" applyBorder="1"/>
    <xf numFmtId="168" fontId="0" fillId="0" borderId="17" xfId="0" applyNumberFormat="1" applyBorder="1"/>
    <xf numFmtId="0" fontId="0" fillId="0" borderId="22" xfId="0" applyBorder="1"/>
    <xf numFmtId="2" fontId="0" fillId="0" borderId="22" xfId="0" applyNumberFormat="1" applyBorder="1"/>
    <xf numFmtId="168" fontId="0" fillId="0" borderId="19" xfId="0" applyNumberFormat="1" applyBorder="1"/>
    <xf numFmtId="164" fontId="0" fillId="6" borderId="26" xfId="1" applyNumberFormat="1" applyFont="1" applyFill="1" applyBorder="1"/>
    <xf numFmtId="0" fontId="0" fillId="0" borderId="17" xfId="0" applyBorder="1"/>
    <xf numFmtId="164" fontId="0" fillId="5" borderId="4" xfId="1" applyNumberFormat="1" applyFont="1" applyFill="1" applyBorder="1"/>
    <xf numFmtId="164" fontId="0" fillId="5" borderId="3" xfId="1" applyNumberFormat="1" applyFont="1" applyFill="1" applyBorder="1"/>
    <xf numFmtId="9" fontId="0" fillId="5" borderId="14" xfId="2" applyFont="1" applyFill="1" applyBorder="1"/>
    <xf numFmtId="164" fontId="0" fillId="5" borderId="16" xfId="1" applyNumberFormat="1" applyFont="1" applyFill="1" applyBorder="1"/>
    <xf numFmtId="9" fontId="0" fillId="5" borderId="16" xfId="2" applyFont="1" applyFill="1" applyBorder="1"/>
    <xf numFmtId="164" fontId="0" fillId="5" borderId="18" xfId="1" applyNumberFormat="1" applyFont="1" applyFill="1" applyBorder="1"/>
    <xf numFmtId="168" fontId="0" fillId="6" borderId="26" xfId="0" applyNumberFormat="1" applyFill="1" applyBorder="1"/>
    <xf numFmtId="169" fontId="0" fillId="6" borderId="26" xfId="1" applyNumberFormat="1" applyFont="1" applyFill="1" applyBorder="1"/>
    <xf numFmtId="43" fontId="0" fillId="0" borderId="1" xfId="1" applyFont="1" applyBorder="1"/>
    <xf numFmtId="0" fontId="0" fillId="0" borderId="29" xfId="0" applyBorder="1"/>
    <xf numFmtId="0" fontId="0" fillId="6" borderId="3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31" xfId="0" applyBorder="1"/>
    <xf numFmtId="0" fontId="0" fillId="0" borderId="26" xfId="0" applyBorder="1"/>
    <xf numFmtId="0" fontId="0" fillId="5" borderId="26" xfId="0" applyFill="1" applyBorder="1"/>
    <xf numFmtId="0" fontId="0" fillId="10" borderId="8" xfId="0" applyFill="1" applyBorder="1"/>
    <xf numFmtId="0" fontId="0" fillId="10" borderId="9" xfId="0" applyFill="1" applyBorder="1"/>
    <xf numFmtId="164" fontId="0" fillId="0" borderId="0" xfId="1" applyNumberFormat="1" applyFont="1" applyAlignment="1">
      <alignment horizontal="left"/>
    </xf>
    <xf numFmtId="165" fontId="0" fillId="0" borderId="0" xfId="2" applyNumberFormat="1" applyFont="1"/>
    <xf numFmtId="0" fontId="0" fillId="0" borderId="3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165" fontId="0" fillId="5" borderId="26" xfId="2" applyNumberFormat="1" applyFont="1" applyFill="1" applyBorder="1"/>
    <xf numFmtId="168" fontId="0" fillId="5" borderId="1" xfId="0" applyNumberFormat="1" applyFill="1" applyBorder="1"/>
    <xf numFmtId="43" fontId="0" fillId="0" borderId="0" xfId="1" applyFont="1"/>
    <xf numFmtId="0" fontId="0" fillId="2" borderId="23" xfId="0" applyFill="1" applyBorder="1"/>
    <xf numFmtId="0" fontId="0" fillId="2" borderId="25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19" xfId="0" applyFill="1" applyBorder="1"/>
    <xf numFmtId="0" fontId="0" fillId="6" borderId="25" xfId="0" applyFill="1" applyBorder="1"/>
    <xf numFmtId="0" fontId="0" fillId="6" borderId="27" xfId="0" applyFill="1" applyBorder="1"/>
    <xf numFmtId="0" fontId="0" fillId="6" borderId="2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19" xfId="0" applyFill="1" applyBorder="1"/>
    <xf numFmtId="0" fontId="0" fillId="8" borderId="23" xfId="0" applyFill="1" applyBorder="1"/>
    <xf numFmtId="0" fontId="0" fillId="8" borderId="25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16" xfId="0" applyFill="1" applyBorder="1"/>
    <xf numFmtId="0" fontId="0" fillId="8" borderId="3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22" xfId="0" applyFill="1" applyBorder="1"/>
    <xf numFmtId="0" fontId="0" fillId="8" borderId="19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7" xfId="0" applyFill="1" applyBorder="1"/>
    <xf numFmtId="0" fontId="0" fillId="3" borderId="4" xfId="0" applyFill="1" applyBorder="1"/>
    <xf numFmtId="0" fontId="0" fillId="3" borderId="28" xfId="0" applyFill="1" applyBorder="1"/>
    <xf numFmtId="0" fontId="0" fillId="3" borderId="16" xfId="0" applyFill="1" applyBorder="1"/>
    <xf numFmtId="0" fontId="0" fillId="3" borderId="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2" xfId="0" applyFill="1" applyBorder="1"/>
    <xf numFmtId="0" fontId="0" fillId="3" borderId="19" xfId="0" applyFill="1" applyBorder="1"/>
    <xf numFmtId="0" fontId="0" fillId="2" borderId="1" xfId="0" applyFill="1" applyBorder="1"/>
    <xf numFmtId="0" fontId="0" fillId="6" borderId="1" xfId="0" applyFill="1" applyBorder="1"/>
    <xf numFmtId="0" fontId="0" fillId="8" borderId="26" xfId="0" applyFill="1" applyBorder="1"/>
    <xf numFmtId="0" fontId="0" fillId="3" borderId="26" xfId="0" applyFill="1" applyBorder="1"/>
    <xf numFmtId="168" fontId="0" fillId="0" borderId="31" xfId="0" applyNumberFormat="1" applyBorder="1"/>
    <xf numFmtId="168" fontId="0" fillId="0" borderId="26" xfId="0" applyNumberFormat="1" applyBorder="1"/>
    <xf numFmtId="0" fontId="0" fillId="0" borderId="1" xfId="0" applyFill="1" applyBorder="1"/>
    <xf numFmtId="43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37"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Present</a:t>
            </a:r>
            <a:r>
              <a:rPr lang="en-US" baseline="0"/>
              <a:t> Value</a:t>
            </a:r>
            <a:r>
              <a:rPr lang="en-US"/>
              <a:t>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Present 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NPV!$G$7:$G$22</c:f>
              <c:numCache>
                <c:formatCode>0.0</c:formatCode>
                <c:ptCount val="16"/>
                <c:pt idx="0" formatCode="General">
                  <c:v>-9900</c:v>
                </c:pt>
                <c:pt idx="1">
                  <c:v>297.02970297029702</c:v>
                </c:pt>
                <c:pt idx="2">
                  <c:v>490.14802470346041</c:v>
                </c:pt>
                <c:pt idx="3">
                  <c:v>679.41310354935115</c:v>
                </c:pt>
                <c:pt idx="4">
                  <c:v>864.88231003453461</c:v>
                </c:pt>
                <c:pt idx="5">
                  <c:v>1046.6122563674237</c:v>
                </c:pt>
                <c:pt idx="6">
                  <c:v>1224.6588058304685</c:v>
                </c:pt>
                <c:pt idx="7">
                  <c:v>1399.0770820607033</c:v>
                </c:pt>
                <c:pt idx="8">
                  <c:v>1569.9214782199308</c:v>
                </c:pt>
                <c:pt idx="9">
                  <c:v>1371.5097363598693</c:v>
                </c:pt>
                <c:pt idx="10">
                  <c:v>1176.873041100878</c:v>
                </c:pt>
                <c:pt idx="11">
                  <c:v>985.95608926958585</c:v>
                </c:pt>
                <c:pt idx="12">
                  <c:v>798.70430273863826</c:v>
                </c:pt>
                <c:pt idx="13">
                  <c:v>615.06381949070055</c:v>
                </c:pt>
                <c:pt idx="14">
                  <c:v>434.98148478833133</c:v>
                </c:pt>
                <c:pt idx="15">
                  <c:v>258.4048424485137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0-42D5-B173-8895F641F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1599736"/>
        <c:axId val="771598656"/>
      </c:barChart>
      <c:catAx>
        <c:axId val="771599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8656"/>
        <c:crosses val="autoZero"/>
        <c:auto val="1"/>
        <c:lblAlgn val="ctr"/>
        <c:lblOffset val="100"/>
        <c:noMultiLvlLbl val="0"/>
      </c:catAx>
      <c:valAx>
        <c:axId val="7715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NPV!$H$7:$H$22</c:f>
              <c:numCache>
                <c:formatCode>0.0</c:formatCode>
                <c:ptCount val="16"/>
                <c:pt idx="0" formatCode="General">
                  <c:v>-9900</c:v>
                </c:pt>
                <c:pt idx="1">
                  <c:v>-9602.9702970297021</c:v>
                </c:pt>
                <c:pt idx="2">
                  <c:v>-9112.8222723262425</c:v>
                </c:pt>
                <c:pt idx="3">
                  <c:v>-8433.4091687768905</c:v>
                </c:pt>
                <c:pt idx="4">
                  <c:v>-7568.5268587423561</c:v>
                </c:pt>
                <c:pt idx="5">
                  <c:v>-6521.9146023749327</c:v>
                </c:pt>
                <c:pt idx="6">
                  <c:v>-5297.2557965444639</c:v>
                </c:pt>
                <c:pt idx="7">
                  <c:v>-3898.1787144837608</c:v>
                </c:pt>
                <c:pt idx="8">
                  <c:v>-2328.2572362638302</c:v>
                </c:pt>
                <c:pt idx="9">
                  <c:v>-956.74749990396094</c:v>
                </c:pt>
                <c:pt idx="10">
                  <c:v>220.12554119691708</c:v>
                </c:pt>
                <c:pt idx="11">
                  <c:v>1206.0816304665029</c:v>
                </c:pt>
                <c:pt idx="12">
                  <c:v>2004.7859332051412</c:v>
                </c:pt>
                <c:pt idx="13">
                  <c:v>2619.8497526958417</c:v>
                </c:pt>
                <c:pt idx="14">
                  <c:v>3054.831237484173</c:v>
                </c:pt>
                <c:pt idx="15">
                  <c:v>3313.2360799326866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8-4AEE-9982-58EBD36E8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876880"/>
        <c:axId val="688873280"/>
      </c:barChart>
      <c:catAx>
        <c:axId val="68887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73280"/>
        <c:crosses val="autoZero"/>
        <c:auto val="1"/>
        <c:lblAlgn val="ctr"/>
        <c:lblOffset val="100"/>
        <c:noMultiLvlLbl val="0"/>
      </c:catAx>
      <c:valAx>
        <c:axId val="68887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110306681463476E-2"/>
          <c:y val="2.131982084687567E-2"/>
          <c:w val="0.92925434656238437"/>
          <c:h val="0.86725565263316828"/>
        </c:manualLayout>
      </c:layout>
      <c:lineChart>
        <c:grouping val="standard"/>
        <c:varyColors val="0"/>
        <c:ser>
          <c:idx val="0"/>
          <c:order val="0"/>
          <c:tx>
            <c:v>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'Exponential Smoothing'!$D$2:$D$33</c:f>
              <c:numCache>
                <c:formatCode>General</c:formatCode>
                <c:ptCount val="32"/>
                <c:pt idx="0">
                  <c:v>11.698974787323735</c:v>
                </c:pt>
                <c:pt idx="1">
                  <c:v>6.3707742230143305</c:v>
                </c:pt>
                <c:pt idx="2">
                  <c:v>290.06015858878936</c:v>
                </c:pt>
                <c:pt idx="3">
                  <c:v>6.7683748530608323</c:v>
                </c:pt>
                <c:pt idx="4">
                  <c:v>85.895497975635777</c:v>
                </c:pt>
                <c:pt idx="5">
                  <c:v>16.064281144825678</c:v>
                </c:pt>
                <c:pt idx="6">
                  <c:v>58.112144520818319</c:v>
                </c:pt>
                <c:pt idx="7">
                  <c:v>103.59631919165034</c:v>
                </c:pt>
                <c:pt idx="8">
                  <c:v>81.984542285280497</c:v>
                </c:pt>
                <c:pt idx="9">
                  <c:v>180.54625348980073</c:v>
                </c:pt>
                <c:pt idx="10">
                  <c:v>193.44767416874561</c:v>
                </c:pt>
                <c:pt idx="11">
                  <c:v>211.22356010849632</c:v>
                </c:pt>
                <c:pt idx="12">
                  <c:v>66.557776123096232</c:v>
                </c:pt>
                <c:pt idx="13">
                  <c:v>166.90940705103273</c:v>
                </c:pt>
                <c:pt idx="14">
                  <c:v>120.39225246129379</c:v>
                </c:pt>
                <c:pt idx="15">
                  <c:v>107.44156842998835</c:v>
                </c:pt>
                <c:pt idx="16">
                  <c:v>31.512146036505641</c:v>
                </c:pt>
                <c:pt idx="17">
                  <c:v>101.11478270403738</c:v>
                </c:pt>
                <c:pt idx="18">
                  <c:v>292.66835425734274</c:v>
                </c:pt>
                <c:pt idx="19">
                  <c:v>277.83944479802602</c:v>
                </c:pt>
                <c:pt idx="20">
                  <c:v>67.940976457246549</c:v>
                </c:pt>
                <c:pt idx="21">
                  <c:v>124.58952300051074</c:v>
                </c:pt>
                <c:pt idx="22">
                  <c:v>10.927763154618841</c:v>
                </c:pt>
                <c:pt idx="23">
                  <c:v>27.829064982040428</c:v>
                </c:pt>
                <c:pt idx="24">
                  <c:v>77.220096183621294</c:v>
                </c:pt>
                <c:pt idx="25">
                  <c:v>161.19972624294661</c:v>
                </c:pt>
                <c:pt idx="26">
                  <c:v>198.93155126773476</c:v>
                </c:pt>
                <c:pt idx="27">
                  <c:v>178.77593960342227</c:v>
                </c:pt>
                <c:pt idx="28">
                  <c:v>71.235279219216451</c:v>
                </c:pt>
                <c:pt idx="29">
                  <c:v>110.53312551874836</c:v>
                </c:pt>
                <c:pt idx="30">
                  <c:v>100.66873200607279</c:v>
                </c:pt>
                <c:pt idx="31">
                  <c:v>23.453966650363345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A-44FD-8431-66FEB164DD95}"/>
            </c:ext>
          </c:extLst>
        </c:ser>
        <c:ser>
          <c:idx val="1"/>
          <c:order val="1"/>
          <c:tx>
            <c:v>Forecasts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'Exponential Smoothing'!$G$2:$G$33</c:f>
              <c:numCache>
                <c:formatCode>General</c:formatCode>
                <c:ptCount val="32"/>
                <c:pt idx="0">
                  <c:v>0</c:v>
                </c:pt>
                <c:pt idx="1">
                  <c:v>11.698974787323735</c:v>
                </c:pt>
                <c:pt idx="2">
                  <c:v>10.653236399314245</c:v>
                </c:pt>
                <c:pt idx="3">
                  <c:v>65.490989010638032</c:v>
                </c:pt>
                <c:pt idx="4">
                  <c:v>53.965805015090126</c:v>
                </c:pt>
                <c:pt idx="5">
                  <c:v>60.232480836165706</c:v>
                </c:pt>
                <c:pt idx="6">
                  <c:v>51.563816549034136</c:v>
                </c:pt>
                <c:pt idx="7">
                  <c:v>52.849023037551262</c:v>
                </c:pt>
                <c:pt idx="8">
                  <c:v>62.808932585908522</c:v>
                </c:pt>
                <c:pt idx="9">
                  <c:v>66.572430399868807</c:v>
                </c:pt>
                <c:pt idx="10">
                  <c:v>88.941483628027882</c:v>
                </c:pt>
                <c:pt idx="11">
                  <c:v>109.45237354555627</c:v>
                </c:pt>
                <c:pt idx="12">
                  <c:v>129.42647836717836</c:v>
                </c:pt>
                <c:pt idx="13">
                  <c:v>117.08756309034769</c:v>
                </c:pt>
                <c:pt idx="14">
                  <c:v>126.86583891954595</c:v>
                </c:pt>
                <c:pt idx="15">
                  <c:v>125.59530156161711</c:v>
                </c:pt>
                <c:pt idx="16">
                  <c:v>122.03236218043327</c:v>
                </c:pt>
                <c:pt idx="17">
                  <c:v>104.26642717665388</c:v>
                </c:pt>
                <c:pt idx="18">
                  <c:v>103.64787020407111</c:v>
                </c:pt>
                <c:pt idx="19">
                  <c:v>140.74594372981153</c:v>
                </c:pt>
                <c:pt idx="20">
                  <c:v>167.65257666963848</c:v>
                </c:pt>
                <c:pt idx="21">
                  <c:v>148.08269621686156</c:v>
                </c:pt>
                <c:pt idx="22">
                  <c:v>143.47181252508395</c:v>
                </c:pt>
                <c:pt idx="23">
                  <c:v>117.4580769578896</c:v>
                </c:pt>
                <c:pt idx="24">
                  <c:v>99.867053990334298</c:v>
                </c:pt>
                <c:pt idx="25">
                  <c:v>95.422252623668669</c:v>
                </c:pt>
                <c:pt idx="26">
                  <c:v>108.33205742544718</c:v>
                </c:pt>
                <c:pt idx="27">
                  <c:v>126.11355185336751</c:v>
                </c:pt>
                <c:pt idx="28">
                  <c:v>136.44932653185145</c:v>
                </c:pt>
                <c:pt idx="29">
                  <c:v>123.65010249942642</c:v>
                </c:pt>
                <c:pt idx="30">
                  <c:v>121.07570121746009</c:v>
                </c:pt>
                <c:pt idx="31">
                  <c:v>117.07053083588279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A-44FD-8431-66FEB164D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119504"/>
        <c:axId val="625119144"/>
      </c:lineChart>
      <c:catAx>
        <c:axId val="625119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119144"/>
        <c:crosses val="autoZero"/>
        <c:auto val="1"/>
        <c:lblAlgn val="ctr"/>
        <c:lblOffset val="100"/>
        <c:noMultiLvlLbl val="0"/>
      </c:catAx>
      <c:valAx>
        <c:axId val="62511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11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150202</xdr:colOff>
      <xdr:row>0</xdr:row>
      <xdr:rowOff>0</xdr:rowOff>
    </xdr:from>
    <xdr:to>
      <xdr:col>13</xdr:col>
      <xdr:colOff>531202</xdr:colOff>
      <xdr:row>14</xdr:row>
      <xdr:rowOff>39565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FB846-E6FA-DFA7-A403-2F961B51A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164856</xdr:colOff>
      <xdr:row>14</xdr:row>
      <xdr:rowOff>42496</xdr:rowOff>
    </xdr:from>
    <xdr:to>
      <xdr:col>13</xdr:col>
      <xdr:colOff>545856</xdr:colOff>
      <xdr:row>28</xdr:row>
      <xdr:rowOff>96716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18E986-7912-187D-4919-7E4A53E00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185737</xdr:rowOff>
    </xdr:from>
    <xdr:to>
      <xdr:col>22</xdr:col>
      <xdr:colOff>314324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D8668-1A1F-EF70-B96D-6E8CD31A6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2473-63C8-45DA-BC59-450A18DBA761}">
  <dimension ref="A1:Q35"/>
  <sheetViews>
    <sheetView zoomScale="200" zoomScaleNormal="200" workbookViewId="0">
      <selection activeCell="B26" sqref="B26"/>
    </sheetView>
  </sheetViews>
  <sheetFormatPr defaultRowHeight="15" x14ac:dyDescent="0.25"/>
  <cols>
    <col min="1" max="1" width="22.5703125" bestFit="1" customWidth="1"/>
    <col min="2" max="2" width="9.140625" style="1" bestFit="1" customWidth="1"/>
    <col min="3" max="3" width="8.7109375" style="1" customWidth="1"/>
    <col min="4" max="4" width="9" style="1" bestFit="1" customWidth="1"/>
    <col min="5" max="5" width="9.140625" style="1" bestFit="1" customWidth="1"/>
    <col min="6" max="6" width="8.85546875" style="1" bestFit="1" customWidth="1"/>
    <col min="7" max="7" width="9.140625" style="1"/>
    <col min="8" max="8" width="9" style="1" bestFit="1" customWidth="1"/>
    <col min="9" max="9" width="9.140625" style="1" bestFit="1" customWidth="1"/>
    <col min="10" max="10" width="8.85546875" style="1" bestFit="1" customWidth="1"/>
    <col min="12" max="12" width="18.7109375" style="9" bestFit="1" customWidth="1"/>
    <col min="13" max="13" width="10.5703125" style="9" bestFit="1" customWidth="1"/>
    <col min="14" max="15" width="9.140625" style="9"/>
  </cols>
  <sheetData>
    <row r="1" spans="1:17" ht="15.75" thickBot="1" x14ac:dyDescent="0.3">
      <c r="B1" s="4" t="s">
        <v>28</v>
      </c>
      <c r="D1" s="4" t="s">
        <v>27</v>
      </c>
      <c r="E1" s="4" t="s">
        <v>29</v>
      </c>
      <c r="F1" s="4" t="s">
        <v>30</v>
      </c>
      <c r="H1" s="4" t="s">
        <v>27</v>
      </c>
      <c r="I1" s="4" t="s">
        <v>29</v>
      </c>
      <c r="J1" s="4" t="s">
        <v>30</v>
      </c>
    </row>
    <row r="2" spans="1:17" x14ac:dyDescent="0.25">
      <c r="A2" s="95" t="s">
        <v>0</v>
      </c>
      <c r="B2" s="5">
        <v>100000</v>
      </c>
      <c r="D2" s="79"/>
      <c r="E2" s="3">
        <f>$D$2+$B$2</f>
        <v>100000</v>
      </c>
      <c r="F2" s="3">
        <f>IF(E2=B2,0,E2-B2)</f>
        <v>0</v>
      </c>
      <c r="H2" s="79"/>
      <c r="I2" s="3">
        <f>$H$2+$B$2</f>
        <v>100000</v>
      </c>
      <c r="J2" s="3">
        <f>IF(I2=B2,0,I2-B2)</f>
        <v>0</v>
      </c>
      <c r="M2"/>
      <c r="N2"/>
    </row>
    <row r="3" spans="1:17" x14ac:dyDescent="0.25">
      <c r="A3" s="96" t="s">
        <v>1</v>
      </c>
      <c r="B3" s="6">
        <v>-2500</v>
      </c>
      <c r="D3" s="80"/>
      <c r="E3" s="2">
        <f>$D$3+$B$3</f>
        <v>-2500</v>
      </c>
      <c r="F3" s="2">
        <f t="shared" ref="F3:F32" si="0">IF(E3=B3,0,E3-B3)</f>
        <v>0</v>
      </c>
      <c r="H3" s="80"/>
      <c r="I3" s="2">
        <f>$H$3+$B$3</f>
        <v>-2500</v>
      </c>
      <c r="J3" s="2">
        <f t="shared" ref="J3:J32" si="1">IF(I3=B3,0,I3-B3)</f>
        <v>0</v>
      </c>
    </row>
    <row r="4" spans="1:17" x14ac:dyDescent="0.25">
      <c r="A4" s="14" t="s">
        <v>2</v>
      </c>
      <c r="B4" s="6">
        <f>SUM(B3+B2)</f>
        <v>97500</v>
      </c>
      <c r="D4" s="80"/>
      <c r="E4" s="2">
        <f>SUM(E3+E2)</f>
        <v>97500</v>
      </c>
      <c r="F4" s="2">
        <f t="shared" si="0"/>
        <v>0</v>
      </c>
      <c r="H4" s="80"/>
      <c r="I4" s="2">
        <f>SUM(I3+I2)</f>
        <v>97500</v>
      </c>
      <c r="J4" s="2">
        <f t="shared" si="1"/>
        <v>0</v>
      </c>
      <c r="M4" s="11"/>
      <c r="N4" s="11"/>
    </row>
    <row r="5" spans="1:17" x14ac:dyDescent="0.25">
      <c r="A5" s="96" t="s">
        <v>4</v>
      </c>
      <c r="B5" s="6">
        <v>-500</v>
      </c>
      <c r="D5" s="80"/>
      <c r="E5" s="2">
        <f>$D$5+$B$5</f>
        <v>-500</v>
      </c>
      <c r="F5" s="2">
        <f t="shared" si="0"/>
        <v>0</v>
      </c>
      <c r="H5" s="80"/>
      <c r="I5" s="2">
        <f>$H$5+$B$5</f>
        <v>-500</v>
      </c>
      <c r="J5" s="2">
        <f t="shared" si="1"/>
        <v>0</v>
      </c>
    </row>
    <row r="6" spans="1:17" x14ac:dyDescent="0.25">
      <c r="A6" s="14" t="s">
        <v>6</v>
      </c>
      <c r="B6" s="6">
        <f>B4+B5</f>
        <v>97000</v>
      </c>
      <c r="D6" s="80"/>
      <c r="E6" s="2">
        <f>E4+E5</f>
        <v>97000</v>
      </c>
      <c r="F6" s="2">
        <f t="shared" si="0"/>
        <v>0</v>
      </c>
      <c r="H6" s="80"/>
      <c r="I6" s="2">
        <f>I4+I5</f>
        <v>97000</v>
      </c>
      <c r="J6" s="2">
        <f t="shared" si="1"/>
        <v>0</v>
      </c>
      <c r="M6"/>
      <c r="N6"/>
    </row>
    <row r="7" spans="1:17" x14ac:dyDescent="0.25">
      <c r="A7" s="15" t="s">
        <v>3</v>
      </c>
      <c r="B7" s="6">
        <f>B18/B29</f>
        <v>-2000</v>
      </c>
      <c r="D7" s="80"/>
      <c r="E7" s="2">
        <f>E18/E29</f>
        <v>-1500</v>
      </c>
      <c r="F7" s="2">
        <f t="shared" si="0"/>
        <v>500</v>
      </c>
      <c r="H7" s="80"/>
      <c r="I7" s="2">
        <f>I18/I29</f>
        <v>-2000</v>
      </c>
      <c r="J7" s="2">
        <f t="shared" si="1"/>
        <v>0</v>
      </c>
    </row>
    <row r="8" spans="1:17" x14ac:dyDescent="0.25">
      <c r="A8" s="14" t="s">
        <v>5</v>
      </c>
      <c r="B8" s="6">
        <f>B7+B6</f>
        <v>95000</v>
      </c>
      <c r="D8" s="80"/>
      <c r="E8" s="2">
        <f>E7+E6</f>
        <v>95500</v>
      </c>
      <c r="F8" s="2">
        <f t="shared" si="0"/>
        <v>500</v>
      </c>
      <c r="H8" s="80"/>
      <c r="I8" s="2">
        <f>I7+I6</f>
        <v>95000</v>
      </c>
      <c r="J8" s="2">
        <f t="shared" si="1"/>
        <v>0</v>
      </c>
    </row>
    <row r="9" spans="1:17" x14ac:dyDescent="0.25">
      <c r="A9" s="14" t="s">
        <v>39</v>
      </c>
      <c r="B9" s="6">
        <f>B8*(1-B28)</f>
        <v>71250</v>
      </c>
      <c r="D9" s="80"/>
      <c r="E9" s="6">
        <f>E8*(1-E28)</f>
        <v>71625</v>
      </c>
      <c r="F9" s="2">
        <f t="shared" si="0"/>
        <v>375</v>
      </c>
      <c r="H9" s="80"/>
      <c r="I9" s="6">
        <f>I8*(1-I28)</f>
        <v>71250</v>
      </c>
      <c r="J9" s="2">
        <f t="shared" si="1"/>
        <v>0</v>
      </c>
    </row>
    <row r="10" spans="1:17" x14ac:dyDescent="0.25">
      <c r="A10" s="15" t="s">
        <v>32</v>
      </c>
      <c r="B10" s="6">
        <f>-B21*B30</f>
        <v>-1250</v>
      </c>
      <c r="D10" s="80"/>
      <c r="E10" s="2">
        <f>-E21*E30</f>
        <v>-750</v>
      </c>
      <c r="F10" s="2">
        <f t="shared" si="0"/>
        <v>500</v>
      </c>
      <c r="H10" s="80"/>
      <c r="I10" s="2">
        <f>-I21*I30</f>
        <v>-1750</v>
      </c>
      <c r="J10" s="2">
        <f t="shared" si="1"/>
        <v>-500</v>
      </c>
    </row>
    <row r="11" spans="1:17" x14ac:dyDescent="0.25">
      <c r="A11" s="14" t="s">
        <v>24</v>
      </c>
      <c r="B11" s="6">
        <f>B6+B10+B7</f>
        <v>93750</v>
      </c>
      <c r="D11" s="80"/>
      <c r="E11" s="2">
        <f>E6+E10+E7</f>
        <v>94750</v>
      </c>
      <c r="F11" s="2">
        <f t="shared" si="0"/>
        <v>1000</v>
      </c>
      <c r="H11" s="80"/>
      <c r="I11" s="2">
        <f>I6+I10+I7</f>
        <v>93250</v>
      </c>
      <c r="J11" s="2">
        <f t="shared" si="1"/>
        <v>-500</v>
      </c>
    </row>
    <row r="12" spans="1:17" x14ac:dyDescent="0.25">
      <c r="A12" s="15" t="s">
        <v>7</v>
      </c>
      <c r="B12" s="6">
        <f>-B11*B28</f>
        <v>-23437.5</v>
      </c>
      <c r="D12" s="80"/>
      <c r="E12" s="2">
        <f>-E11*E28</f>
        <v>-23687.5</v>
      </c>
      <c r="F12" s="2">
        <f t="shared" si="0"/>
        <v>-250</v>
      </c>
      <c r="H12" s="80"/>
      <c r="I12" s="2">
        <f>-I11*I28</f>
        <v>-23312.5</v>
      </c>
      <c r="J12" s="2">
        <f t="shared" si="1"/>
        <v>125</v>
      </c>
    </row>
    <row r="13" spans="1:17" x14ac:dyDescent="0.25">
      <c r="A13" s="14" t="s">
        <v>26</v>
      </c>
      <c r="B13" s="6">
        <f>B12+B11</f>
        <v>70312.5</v>
      </c>
      <c r="D13" s="80"/>
      <c r="E13" s="2">
        <f>E12+E11</f>
        <v>71062.5</v>
      </c>
      <c r="F13" s="2">
        <f t="shared" si="0"/>
        <v>750</v>
      </c>
      <c r="H13" s="80"/>
      <c r="I13" s="2">
        <f>I12+I11</f>
        <v>69937.5</v>
      </c>
      <c r="J13" s="2">
        <f t="shared" si="1"/>
        <v>-375</v>
      </c>
    </row>
    <row r="14" spans="1:17" x14ac:dyDescent="0.25">
      <c r="A14" s="16" t="s">
        <v>8</v>
      </c>
      <c r="B14" s="6">
        <v>-1000</v>
      </c>
      <c r="D14" s="80"/>
      <c r="E14" s="2">
        <f>$D$14+$B$14</f>
        <v>-1000</v>
      </c>
      <c r="F14" s="2">
        <f t="shared" si="0"/>
        <v>0</v>
      </c>
      <c r="H14" s="80"/>
      <c r="I14" s="2">
        <f>$H$14+$B$14</f>
        <v>-1000</v>
      </c>
      <c r="J14" s="2">
        <f t="shared" si="1"/>
        <v>0</v>
      </c>
      <c r="L14" s="97" t="s">
        <v>10</v>
      </c>
      <c r="M14" s="97"/>
      <c r="N14" s="97"/>
      <c r="O14" s="97"/>
      <c r="P14" s="97"/>
      <c r="Q14" s="97"/>
    </row>
    <row r="15" spans="1:17" x14ac:dyDescent="0.25">
      <c r="A15" s="16" t="s">
        <v>25</v>
      </c>
      <c r="B15" s="6">
        <v>-14000</v>
      </c>
      <c r="D15" s="80"/>
      <c r="E15" s="2">
        <f>$D$15+$B$15</f>
        <v>-14000</v>
      </c>
      <c r="F15" s="2">
        <f t="shared" si="0"/>
        <v>0</v>
      </c>
      <c r="H15" s="80"/>
      <c r="I15" s="2">
        <f>$H$15+$B$15</f>
        <v>-14000</v>
      </c>
      <c r="J15" s="2">
        <f t="shared" si="1"/>
        <v>0</v>
      </c>
      <c r="L15" s="97" t="s">
        <v>12</v>
      </c>
      <c r="M15" s="97"/>
      <c r="N15" s="97"/>
      <c r="O15" s="97"/>
      <c r="P15" s="97"/>
      <c r="Q15" s="97"/>
    </row>
    <row r="16" spans="1:17" x14ac:dyDescent="0.25">
      <c r="A16" s="16" t="s">
        <v>9</v>
      </c>
      <c r="B16" s="6">
        <v>1000</v>
      </c>
      <c r="D16" s="80"/>
      <c r="E16" s="2">
        <f>$D$16+$B$16</f>
        <v>1000</v>
      </c>
      <c r="F16" s="2">
        <f t="shared" si="0"/>
        <v>0</v>
      </c>
      <c r="H16" s="80"/>
      <c r="I16" s="2">
        <f>$H$16+$B$16</f>
        <v>1000</v>
      </c>
      <c r="J16" s="2">
        <f t="shared" si="1"/>
        <v>0</v>
      </c>
      <c r="L16" s="97" t="s">
        <v>11</v>
      </c>
      <c r="M16" s="97"/>
      <c r="N16" s="97"/>
      <c r="O16" s="97"/>
      <c r="P16" s="97"/>
      <c r="Q16" s="97"/>
    </row>
    <row r="17" spans="1:16" x14ac:dyDescent="0.25">
      <c r="A17" s="17" t="s">
        <v>13</v>
      </c>
      <c r="B17" s="6">
        <f>B16+B15+B14+B13-B7</f>
        <v>58312.5</v>
      </c>
      <c r="D17" s="80"/>
      <c r="E17" s="2">
        <f>E16+E15+E14+E13-E7</f>
        <v>58562.5</v>
      </c>
      <c r="F17" s="2">
        <f t="shared" si="0"/>
        <v>250</v>
      </c>
      <c r="H17" s="80"/>
      <c r="I17" s="2">
        <f>I16+I15+I14+I13-I7</f>
        <v>57937.5</v>
      </c>
      <c r="J17" s="2">
        <f t="shared" si="1"/>
        <v>-375</v>
      </c>
      <c r="L17" s="10"/>
      <c r="M17" s="10"/>
      <c r="N17" s="10"/>
      <c r="O17" s="10"/>
    </row>
    <row r="18" spans="1:16" x14ac:dyDescent="0.25">
      <c r="A18" s="16" t="s">
        <v>31</v>
      </c>
      <c r="B18" s="6">
        <v>-40000</v>
      </c>
      <c r="D18" s="80">
        <v>10000</v>
      </c>
      <c r="E18" s="2">
        <f>$D$18+$B$18</f>
        <v>-30000</v>
      </c>
      <c r="F18" s="2">
        <f t="shared" si="0"/>
        <v>10000</v>
      </c>
      <c r="H18" s="80"/>
      <c r="I18" s="2">
        <f>$H$18+$B$18</f>
        <v>-40000</v>
      </c>
      <c r="J18" s="2">
        <f t="shared" si="1"/>
        <v>0</v>
      </c>
      <c r="L18" s="10"/>
      <c r="M18" s="10"/>
      <c r="N18" s="10"/>
      <c r="O18" s="10"/>
    </row>
    <row r="19" spans="1:16" x14ac:dyDescent="0.25">
      <c r="A19" s="16" t="s">
        <v>14</v>
      </c>
      <c r="B19" s="6">
        <v>0</v>
      </c>
      <c r="D19" s="80"/>
      <c r="E19" s="2">
        <f>$D$19+$B$19</f>
        <v>0</v>
      </c>
      <c r="F19" s="2">
        <f t="shared" si="0"/>
        <v>0</v>
      </c>
      <c r="H19" s="80"/>
      <c r="I19" s="2">
        <f>$H$19+$B$19</f>
        <v>0</v>
      </c>
      <c r="J19" s="2">
        <f t="shared" si="1"/>
        <v>0</v>
      </c>
      <c r="L19" s="10"/>
      <c r="M19" s="10"/>
      <c r="N19" s="10"/>
      <c r="O19" s="10"/>
    </row>
    <row r="20" spans="1:16" x14ac:dyDescent="0.25">
      <c r="A20" s="17" t="s">
        <v>15</v>
      </c>
      <c r="B20" s="6">
        <f>B19+B18</f>
        <v>-40000</v>
      </c>
      <c r="D20" s="80"/>
      <c r="E20" s="2">
        <f>E19+E18</f>
        <v>-30000</v>
      </c>
      <c r="F20" s="2">
        <f t="shared" si="0"/>
        <v>10000</v>
      </c>
      <c r="H20" s="80"/>
      <c r="I20" s="2">
        <f>I19+I18</f>
        <v>-40000</v>
      </c>
      <c r="J20" s="2">
        <f t="shared" si="1"/>
        <v>0</v>
      </c>
      <c r="K20" s="1"/>
      <c r="L20" s="10"/>
      <c r="M20" s="10"/>
      <c r="N20" s="10"/>
      <c r="O20" s="10"/>
    </row>
    <row r="21" spans="1:16" x14ac:dyDescent="0.25">
      <c r="A21" s="16" t="s">
        <v>17</v>
      </c>
      <c r="B21" s="6">
        <v>25000</v>
      </c>
      <c r="D21" s="80">
        <v>-10000</v>
      </c>
      <c r="E21" s="2">
        <f>$D$21+$B$21</f>
        <v>15000</v>
      </c>
      <c r="F21" s="2">
        <f t="shared" si="0"/>
        <v>-10000</v>
      </c>
      <c r="H21" s="80">
        <v>10000</v>
      </c>
      <c r="I21" s="2">
        <f>$H$21+$B$21</f>
        <v>35000</v>
      </c>
      <c r="J21" s="2">
        <f t="shared" si="1"/>
        <v>10000</v>
      </c>
      <c r="K21" s="1"/>
      <c r="L21" s="10"/>
      <c r="M21" s="10"/>
      <c r="N21" s="10"/>
      <c r="O21" s="10"/>
    </row>
    <row r="22" spans="1:16" x14ac:dyDescent="0.25">
      <c r="A22" s="16" t="s">
        <v>19</v>
      </c>
      <c r="B22" s="6">
        <v>25000</v>
      </c>
      <c r="D22" s="80">
        <v>10000</v>
      </c>
      <c r="E22" s="2">
        <f>$D$22+$B$22</f>
        <v>35000</v>
      </c>
      <c r="F22" s="2">
        <f t="shared" si="0"/>
        <v>10000</v>
      </c>
      <c r="H22" s="80">
        <v>-10000</v>
      </c>
      <c r="I22" s="2">
        <f>$H$22+$B$22</f>
        <v>15000</v>
      </c>
      <c r="J22" s="2">
        <f t="shared" si="1"/>
        <v>-10000</v>
      </c>
      <c r="K22" s="1"/>
      <c r="L22" s="10"/>
      <c r="M22" s="10"/>
      <c r="N22" s="10"/>
      <c r="O22" s="10"/>
    </row>
    <row r="23" spans="1:16" x14ac:dyDescent="0.25">
      <c r="A23" s="17" t="s">
        <v>16</v>
      </c>
      <c r="B23" s="6">
        <f>B22+B21</f>
        <v>50000</v>
      </c>
      <c r="D23" s="80"/>
      <c r="E23" s="2">
        <f>E22+E21</f>
        <v>50000</v>
      </c>
      <c r="F23" s="2">
        <f t="shared" si="0"/>
        <v>0</v>
      </c>
      <c r="H23" s="80"/>
      <c r="I23" s="2">
        <f>I22+I21</f>
        <v>50000</v>
      </c>
      <c r="J23" s="2">
        <f t="shared" si="1"/>
        <v>0</v>
      </c>
      <c r="K23" s="1"/>
      <c r="L23" s="10"/>
      <c r="M23" s="10"/>
      <c r="N23" s="10"/>
      <c r="O23" s="10"/>
    </row>
    <row r="24" spans="1:16" x14ac:dyDescent="0.25">
      <c r="A24" s="18" t="s">
        <v>18</v>
      </c>
      <c r="B24" s="6">
        <f>B17+B20</f>
        <v>18312.5</v>
      </c>
      <c r="D24" s="80"/>
      <c r="E24" s="2">
        <f>E17+E20</f>
        <v>28562.5</v>
      </c>
      <c r="F24" s="2">
        <f t="shared" si="0"/>
        <v>10250</v>
      </c>
      <c r="H24" s="80"/>
      <c r="I24" s="2">
        <f>I17+I20</f>
        <v>17937.5</v>
      </c>
      <c r="J24" s="2">
        <f t="shared" si="1"/>
        <v>-375</v>
      </c>
      <c r="K24" s="1"/>
      <c r="L24" s="97" t="s">
        <v>36</v>
      </c>
      <c r="M24" s="97"/>
      <c r="N24" s="97"/>
      <c r="O24" s="10"/>
    </row>
    <row r="25" spans="1:16" x14ac:dyDescent="0.25">
      <c r="A25" s="18" t="s">
        <v>20</v>
      </c>
      <c r="B25" s="6">
        <f>B21+B18+B17</f>
        <v>43312.5</v>
      </c>
      <c r="D25" s="80"/>
      <c r="E25" s="2">
        <f>E21+E18+E17</f>
        <v>43562.5</v>
      </c>
      <c r="F25" s="2">
        <f t="shared" si="0"/>
        <v>250</v>
      </c>
      <c r="H25" s="80"/>
      <c r="I25" s="2">
        <f>I21+I18+I17</f>
        <v>52937.5</v>
      </c>
      <c r="J25" s="2">
        <f t="shared" si="1"/>
        <v>9625</v>
      </c>
      <c r="K25" s="1"/>
      <c r="L25" s="97" t="s">
        <v>22</v>
      </c>
      <c r="M25" s="97"/>
      <c r="N25" s="97"/>
      <c r="O25" s="97"/>
      <c r="P25" s="97"/>
    </row>
    <row r="26" spans="1:16" ht="15.75" thickBot="1" x14ac:dyDescent="0.3">
      <c r="A26" s="19" t="s">
        <v>21</v>
      </c>
      <c r="B26" s="7">
        <f>B9+B20+B15-B7</f>
        <v>19250</v>
      </c>
      <c r="D26" s="80"/>
      <c r="E26" s="7">
        <f>E9+E20+E15-E7</f>
        <v>29125</v>
      </c>
      <c r="F26" s="2">
        <f t="shared" si="0"/>
        <v>9875</v>
      </c>
      <c r="H26" s="80"/>
      <c r="I26" s="7">
        <f>I9+I20+I15-I7</f>
        <v>19250</v>
      </c>
      <c r="J26" s="2">
        <f t="shared" si="1"/>
        <v>0</v>
      </c>
      <c r="L26" s="97" t="s">
        <v>23</v>
      </c>
      <c r="M26" s="97"/>
      <c r="N26" s="97"/>
      <c r="O26" s="97"/>
    </row>
    <row r="27" spans="1:16" ht="15.75" thickBot="1" x14ac:dyDescent="0.3">
      <c r="F27" s="33"/>
      <c r="J27"/>
      <c r="L27" s="10"/>
      <c r="M27" s="10"/>
      <c r="N27" s="10"/>
      <c r="O27" s="10"/>
    </row>
    <row r="28" spans="1:16" ht="15.75" thickBot="1" x14ac:dyDescent="0.3">
      <c r="A28" s="12" t="s">
        <v>37</v>
      </c>
      <c r="B28" s="22">
        <v>0.25</v>
      </c>
      <c r="C28" s="10"/>
      <c r="D28" s="81"/>
      <c r="E28" s="26">
        <f>D28+B28</f>
        <v>0.25</v>
      </c>
      <c r="F28" s="30">
        <f t="shared" si="0"/>
        <v>0</v>
      </c>
      <c r="G28" s="10"/>
      <c r="H28" s="81"/>
      <c r="I28" s="26">
        <f>B28</f>
        <v>0.25</v>
      </c>
      <c r="J28" s="30">
        <f t="shared" si="1"/>
        <v>0</v>
      </c>
      <c r="L28" s="10"/>
      <c r="M28" s="10"/>
      <c r="N28" s="10"/>
      <c r="O28" s="10"/>
    </row>
    <row r="29" spans="1:16" ht="15.75" thickBot="1" x14ac:dyDescent="0.3">
      <c r="A29" s="13" t="s">
        <v>38</v>
      </c>
      <c r="B29" s="8">
        <v>20</v>
      </c>
      <c r="C29" s="10"/>
      <c r="D29" s="82"/>
      <c r="E29" s="27">
        <f>D29+B29</f>
        <v>20</v>
      </c>
      <c r="F29" s="31">
        <f t="shared" si="0"/>
        <v>0</v>
      </c>
      <c r="G29" s="10"/>
      <c r="H29" s="82"/>
      <c r="I29" s="27">
        <f>B29</f>
        <v>20</v>
      </c>
      <c r="J29" s="31">
        <f t="shared" si="1"/>
        <v>0</v>
      </c>
      <c r="K29" s="1"/>
      <c r="L29" s="10"/>
      <c r="M29" s="10"/>
      <c r="N29" s="10"/>
      <c r="O29" s="10"/>
    </row>
    <row r="30" spans="1:16" ht="15.75" thickBot="1" x14ac:dyDescent="0.3">
      <c r="A30" s="12" t="s">
        <v>34</v>
      </c>
      <c r="B30" s="23">
        <v>0.05</v>
      </c>
      <c r="C30" s="10"/>
      <c r="D30" s="83"/>
      <c r="E30" s="28">
        <f>D30+B30</f>
        <v>0.05</v>
      </c>
      <c r="F30" s="31">
        <f t="shared" si="0"/>
        <v>0</v>
      </c>
      <c r="G30" s="10"/>
      <c r="H30" s="83"/>
      <c r="I30" s="28">
        <f>B30</f>
        <v>0.05</v>
      </c>
      <c r="J30" s="31">
        <f t="shared" si="1"/>
        <v>0</v>
      </c>
      <c r="K30" s="1"/>
      <c r="L30" s="10"/>
      <c r="M30" s="10"/>
      <c r="N30" s="10"/>
      <c r="O30" s="10"/>
    </row>
    <row r="31" spans="1:16" ht="15.75" thickBot="1" x14ac:dyDescent="0.3">
      <c r="A31" s="20" t="s">
        <v>33</v>
      </c>
      <c r="B31" s="23">
        <v>0.08</v>
      </c>
      <c r="C31" s="10"/>
      <c r="D31" s="83"/>
      <c r="E31" s="28">
        <f>D31+B31</f>
        <v>0.08</v>
      </c>
      <c r="F31" s="31">
        <f t="shared" si="0"/>
        <v>0</v>
      </c>
      <c r="G31" s="10"/>
      <c r="H31" s="83"/>
      <c r="I31" s="28">
        <f>B31</f>
        <v>0.08</v>
      </c>
      <c r="J31" s="31">
        <f t="shared" si="1"/>
        <v>0</v>
      </c>
      <c r="K31" s="1"/>
      <c r="L31" s="10"/>
      <c r="M31" s="10"/>
      <c r="N31" s="10"/>
      <c r="O31" s="10"/>
    </row>
    <row r="32" spans="1:16" ht="15.75" thickBot="1" x14ac:dyDescent="0.3">
      <c r="A32" s="21" t="s">
        <v>35</v>
      </c>
      <c r="B32" s="24">
        <f>B21/(B21+B22)*B30 + B22/(B21+B22)*B31</f>
        <v>6.5000000000000002E-2</v>
      </c>
      <c r="D32" s="84"/>
      <c r="E32" s="29">
        <f>E21/(E21+E22)*E30 + E22/(E21+E22)*E31</f>
        <v>7.0999999999999994E-2</v>
      </c>
      <c r="F32" s="32">
        <f t="shared" si="0"/>
        <v>5.9999999999999915E-3</v>
      </c>
      <c r="H32" s="84"/>
      <c r="I32" s="29">
        <f>I21/(I21+I22)*I30 + I22/(I21+I22)*I31</f>
        <v>5.8999999999999997E-2</v>
      </c>
      <c r="J32" s="32">
        <f t="shared" si="1"/>
        <v>-6.0000000000000053E-3</v>
      </c>
      <c r="L32" s="10"/>
      <c r="M32" s="10"/>
      <c r="N32" s="10"/>
      <c r="O32" s="10"/>
    </row>
    <row r="35" spans="3:4" x14ac:dyDescent="0.25">
      <c r="C35" s="10"/>
      <c r="D35" s="10"/>
    </row>
  </sheetData>
  <mergeCells count="6">
    <mergeCell ref="L16:Q16"/>
    <mergeCell ref="L24:N24"/>
    <mergeCell ref="L25:P25"/>
    <mergeCell ref="L26:O26"/>
    <mergeCell ref="L14:Q14"/>
    <mergeCell ref="L15:Q15"/>
  </mergeCells>
  <conditionalFormatting sqref="B36:C1048576 C35 C28:C31 B28:B32 I28:I32 B1:C23 B24 B25:C25 C26 E28:E32 B27:D27">
    <cfRule type="expression" dxfId="36" priority="108">
      <formula>_xlfn.ISFORMULA(INDIRECT("rc",FALSE))</formula>
    </cfRule>
  </conditionalFormatting>
  <conditionalFormatting sqref="B6">
    <cfRule type="expression" dxfId="35" priority="107">
      <formula>_xlfn.ISFORMULA($B$4)</formula>
    </cfRule>
  </conditionalFormatting>
  <conditionalFormatting sqref="D2:D26 H2:H26">
    <cfRule type="notContainsBlanks" dxfId="34" priority="89">
      <formula>LEN(TRIM(D2))&gt;0</formula>
    </cfRule>
  </conditionalFormatting>
  <conditionalFormatting sqref="E4">
    <cfRule type="expression" dxfId="33" priority="75">
      <formula>_xlfn.ISFORMULA(INDIRECT("rc",FALSE))</formula>
    </cfRule>
  </conditionalFormatting>
  <conditionalFormatting sqref="I4">
    <cfRule type="expression" dxfId="32" priority="74">
      <formula>_xlfn.ISFORMULA(INDIRECT("rc",FALSE))</formula>
    </cfRule>
  </conditionalFormatting>
  <conditionalFormatting sqref="E6">
    <cfRule type="expression" dxfId="31" priority="73">
      <formula>_xlfn.ISFORMULA(INDIRECT("rc",FALSE))</formula>
    </cfRule>
  </conditionalFormatting>
  <conditionalFormatting sqref="E6">
    <cfRule type="expression" dxfId="30" priority="72">
      <formula>_xlfn.ISFORMULA($B$4)</formula>
    </cfRule>
  </conditionalFormatting>
  <conditionalFormatting sqref="I6">
    <cfRule type="expression" dxfId="29" priority="71">
      <formula>_xlfn.ISFORMULA(INDIRECT("rc",FALSE))</formula>
    </cfRule>
  </conditionalFormatting>
  <conditionalFormatting sqref="I6">
    <cfRule type="expression" dxfId="28" priority="70">
      <formula>_xlfn.ISFORMULA($B$4)</formula>
    </cfRule>
  </conditionalFormatting>
  <conditionalFormatting sqref="E8">
    <cfRule type="expression" dxfId="27" priority="69">
      <formula>_xlfn.ISFORMULA(INDIRECT("rc",FALSE))</formula>
    </cfRule>
  </conditionalFormatting>
  <conditionalFormatting sqref="I8">
    <cfRule type="expression" dxfId="26" priority="68">
      <formula>_xlfn.ISFORMULA(INDIRECT("rc",FALSE))</formula>
    </cfRule>
  </conditionalFormatting>
  <conditionalFormatting sqref="E11">
    <cfRule type="expression" dxfId="25" priority="67">
      <formula>_xlfn.ISFORMULA(INDIRECT("rc",FALSE))</formula>
    </cfRule>
  </conditionalFormatting>
  <conditionalFormatting sqref="I11">
    <cfRule type="expression" dxfId="24" priority="66">
      <formula>_xlfn.ISFORMULA(INDIRECT("rc",FALSE))</formula>
    </cfRule>
  </conditionalFormatting>
  <conditionalFormatting sqref="E13">
    <cfRule type="expression" dxfId="23" priority="63">
      <formula>_xlfn.ISFORMULA(INDIRECT("rc",FALSE))</formula>
    </cfRule>
  </conditionalFormatting>
  <conditionalFormatting sqref="I13">
    <cfRule type="expression" dxfId="22" priority="62">
      <formula>_xlfn.ISFORMULA(INDIRECT("rc",FALSE))</formula>
    </cfRule>
  </conditionalFormatting>
  <conditionalFormatting sqref="E20">
    <cfRule type="expression" dxfId="21" priority="57">
      <formula>_xlfn.ISFORMULA(INDIRECT("rc",FALSE))</formula>
    </cfRule>
  </conditionalFormatting>
  <conditionalFormatting sqref="I20">
    <cfRule type="expression" dxfId="20" priority="56">
      <formula>_xlfn.ISFORMULA(INDIRECT("rc",FALSE))</formula>
    </cfRule>
  </conditionalFormatting>
  <conditionalFormatting sqref="E23">
    <cfRule type="expression" dxfId="19" priority="55">
      <formula>_xlfn.ISFORMULA(INDIRECT("rc",FALSE))</formula>
    </cfRule>
  </conditionalFormatting>
  <conditionalFormatting sqref="I23">
    <cfRule type="expression" dxfId="18" priority="54">
      <formula>_xlfn.ISFORMULA(INDIRECT("rc",FALSE))</formula>
    </cfRule>
  </conditionalFormatting>
  <conditionalFormatting sqref="E24">
    <cfRule type="expression" dxfId="17" priority="53">
      <formula>_xlfn.ISFORMULA(INDIRECT("rc",FALSE))</formula>
    </cfRule>
  </conditionalFormatting>
  <conditionalFormatting sqref="I24">
    <cfRule type="expression" dxfId="16" priority="52">
      <formula>_xlfn.ISFORMULA(INDIRECT("rc",FALSE))</formula>
    </cfRule>
  </conditionalFormatting>
  <conditionalFormatting sqref="E25">
    <cfRule type="expression" dxfId="15" priority="51">
      <formula>_xlfn.ISFORMULA(INDIRECT("rc",FALSE))</formula>
    </cfRule>
  </conditionalFormatting>
  <conditionalFormatting sqref="I25">
    <cfRule type="expression" dxfId="14" priority="50">
      <formula>_xlfn.ISFORMULA(INDIRECT("rc",FALSE))</formula>
    </cfRule>
  </conditionalFormatting>
  <conditionalFormatting sqref="E12">
    <cfRule type="expression" dxfId="13" priority="35">
      <formula>_xlfn.ISFORMULA(INDIRECT("rc",FALSE))</formula>
    </cfRule>
  </conditionalFormatting>
  <conditionalFormatting sqref="I12">
    <cfRule type="expression" dxfId="12" priority="34">
      <formula>_xlfn.ISFORMULA(INDIRECT("rc",FALSE))</formula>
    </cfRule>
  </conditionalFormatting>
  <conditionalFormatting sqref="E7">
    <cfRule type="expression" dxfId="11" priority="33">
      <formula>_xlfn.ISFORMULA(INDIRECT("rc",FALSE))</formula>
    </cfRule>
  </conditionalFormatting>
  <conditionalFormatting sqref="I7">
    <cfRule type="expression" dxfId="10" priority="32">
      <formula>_xlfn.ISFORMULA(INDIRECT("rc",FALSE))</formula>
    </cfRule>
  </conditionalFormatting>
  <conditionalFormatting sqref="E10">
    <cfRule type="expression" dxfId="9" priority="31">
      <formula>_xlfn.ISFORMULA(INDIRECT("rc",FALSE))</formula>
    </cfRule>
  </conditionalFormatting>
  <conditionalFormatting sqref="I10">
    <cfRule type="expression" dxfId="8" priority="30">
      <formula>_xlfn.ISFORMULA(INDIRECT("rc",FALSE))</formula>
    </cfRule>
  </conditionalFormatting>
  <conditionalFormatting sqref="F2:F26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2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">
    <cfRule type="expression" dxfId="7" priority="15">
      <formula>_xlfn.ISFORMULA(INDIRECT("rc",FALSE))</formula>
    </cfRule>
  </conditionalFormatting>
  <conditionalFormatting sqref="E9">
    <cfRule type="expression" dxfId="6" priority="14">
      <formula>_xlfn.ISFORMULA(INDIRECT("rc",FALSE))</formula>
    </cfRule>
  </conditionalFormatting>
  <conditionalFormatting sqref="I9">
    <cfRule type="expression" dxfId="5" priority="13">
      <formula>_xlfn.ISFORMULA(INDIRECT("rc",FALSE))</formula>
    </cfRule>
  </conditionalFormatting>
  <conditionalFormatting sqref="E26">
    <cfRule type="expression" dxfId="4" priority="12">
      <formula>_xlfn.ISFORMULA(INDIRECT("rc",FALSE))</formula>
    </cfRule>
  </conditionalFormatting>
  <conditionalFormatting sqref="I26">
    <cfRule type="expression" dxfId="3" priority="11">
      <formula>_xlfn.ISFORMULA(INDIRECT("rc",FALSE))</formula>
    </cfRule>
  </conditionalFormatting>
  <conditionalFormatting sqref="D28:D32">
    <cfRule type="notContainsBlanks" dxfId="2" priority="9">
      <formula>LEN(TRIM(D28))&gt;0</formula>
    </cfRule>
  </conditionalFormatting>
  <conditionalFormatting sqref="H28:H32">
    <cfRule type="notContainsBlanks" dxfId="1" priority="8">
      <formula>LEN(TRIM(H28))&gt;0</formula>
    </cfRule>
  </conditionalFormatting>
  <conditionalFormatting sqref="F28:F32">
    <cfRule type="colorScale" priority="3">
      <colorScale>
        <cfvo type="min"/>
        <cfvo type="num" val="0"/>
        <cfvo type="max"/>
        <color rgb="FF63BE7B"/>
        <color rgb="FFFCFCFF"/>
        <color rgb="FFF8696B"/>
      </colorScale>
    </cfRule>
  </conditionalFormatting>
  <conditionalFormatting sqref="J28:J32">
    <cfRule type="colorScale" priority="2">
      <colorScale>
        <cfvo type="min"/>
        <cfvo type="num" val="0"/>
        <cfvo type="max"/>
        <color rgb="FF63BE7B"/>
        <color rgb="FFFCFCFF"/>
        <color rgb="FFF8696B"/>
      </colorScale>
    </cfRule>
  </conditionalFormatting>
  <conditionalFormatting sqref="H27">
    <cfRule type="expression" dxfId="0" priority="1">
      <formula>_xlfn.ISFORMULA(INDIRECT("rc",FALSE))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D03F-9346-4D36-81DF-9199E87F106D}">
  <dimension ref="B1:S25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4.85546875" bestFit="1" customWidth="1"/>
    <col min="2" max="2" width="10.140625" bestFit="1" customWidth="1"/>
    <col min="3" max="3" width="16.85546875" bestFit="1" customWidth="1"/>
    <col min="4" max="4" width="10.5703125" bestFit="1" customWidth="1"/>
    <col min="5" max="5" width="12.140625" bestFit="1" customWidth="1"/>
    <col min="6" max="6" width="10.42578125" bestFit="1" customWidth="1"/>
    <col min="7" max="7" width="16.85546875" bestFit="1" customWidth="1"/>
    <col min="8" max="8" width="12.5703125" bestFit="1" customWidth="1"/>
    <col min="9" max="9" width="14.140625" bestFit="1" customWidth="1"/>
    <col min="10" max="10" width="12.7109375" bestFit="1" customWidth="1"/>
    <col min="11" max="13" width="12" bestFit="1" customWidth="1"/>
    <col min="14" max="15" width="12.7109375" bestFit="1" customWidth="1"/>
    <col min="16" max="16" width="12" bestFit="1" customWidth="1"/>
    <col min="17" max="17" width="12.7109375" bestFit="1" customWidth="1"/>
    <col min="18" max="19" width="12" bestFit="1" customWidth="1"/>
  </cols>
  <sheetData>
    <row r="1" spans="2:19" ht="15.75" thickBot="1" x14ac:dyDescent="0.3"/>
    <row r="2" spans="2:19" ht="15.75" thickBot="1" x14ac:dyDescent="0.3">
      <c r="B2" s="69" t="s">
        <v>56</v>
      </c>
      <c r="C2" s="69" t="s">
        <v>60</v>
      </c>
      <c r="D2" s="69" t="s">
        <v>62</v>
      </c>
      <c r="E2" s="69" t="s">
        <v>61</v>
      </c>
      <c r="F2" s="69" t="s">
        <v>35</v>
      </c>
      <c r="G2" s="69" t="s">
        <v>42</v>
      </c>
      <c r="H2" s="25"/>
    </row>
    <row r="3" spans="2:19" ht="15.75" thickBot="1" x14ac:dyDescent="0.3">
      <c r="B3" s="77">
        <v>100</v>
      </c>
      <c r="C3" s="86">
        <v>0</v>
      </c>
      <c r="D3" s="77">
        <v>10000</v>
      </c>
      <c r="E3" s="77">
        <f>D3*(1-C3)</f>
        <v>10000</v>
      </c>
      <c r="F3" s="68">
        <v>0.01</v>
      </c>
      <c r="G3" s="85">
        <f>G24</f>
        <v>3313.2360799326866</v>
      </c>
      <c r="K3" s="25"/>
      <c r="L3" s="25"/>
      <c r="M3" s="25"/>
      <c r="N3" s="25"/>
      <c r="O3" s="25"/>
      <c r="P3" s="25"/>
      <c r="Q3" s="25"/>
      <c r="R3" s="25"/>
      <c r="S3" s="25"/>
    </row>
    <row r="5" spans="2:19" ht="15.75" thickBot="1" x14ac:dyDescent="0.3"/>
    <row r="6" spans="2:19" ht="15.75" thickBot="1" x14ac:dyDescent="0.3">
      <c r="C6" s="42" t="s">
        <v>41</v>
      </c>
      <c r="D6" s="43" t="s">
        <v>45</v>
      </c>
      <c r="E6" s="43" t="s">
        <v>50</v>
      </c>
      <c r="F6" s="43" t="s">
        <v>40</v>
      </c>
      <c r="G6" s="44" t="s">
        <v>44</v>
      </c>
      <c r="H6" s="153" t="s">
        <v>80</v>
      </c>
    </row>
    <row r="7" spans="2:19" x14ac:dyDescent="0.25">
      <c r="C7" s="70">
        <v>0</v>
      </c>
      <c r="D7" s="41">
        <v>1</v>
      </c>
      <c r="E7" s="41">
        <f>D7*$B$3-E3</f>
        <v>-9900</v>
      </c>
      <c r="F7" s="41">
        <f>1/((1+$F$3)^C7)</f>
        <v>1</v>
      </c>
      <c r="G7" s="71">
        <f>F7*E7</f>
        <v>-9900</v>
      </c>
      <c r="H7" s="92">
        <f>G7</f>
        <v>-9900</v>
      </c>
    </row>
    <row r="8" spans="2:19" x14ac:dyDescent="0.25">
      <c r="C8" s="72">
        <v>1</v>
      </c>
      <c r="D8" s="34">
        <f>D7+2</f>
        <v>3</v>
      </c>
      <c r="E8" s="34">
        <f>D8*$B$3</f>
        <v>300</v>
      </c>
      <c r="F8" s="45">
        <f>1/((1+$F$3)^C8)</f>
        <v>0.99009900990099009</v>
      </c>
      <c r="G8" s="73">
        <f t="shared" ref="G8:G22" si="0">F8*E8</f>
        <v>297.02970297029702</v>
      </c>
      <c r="H8" s="151">
        <f>G8+H7</f>
        <v>-9602.9702970297021</v>
      </c>
    </row>
    <row r="9" spans="2:19" x14ac:dyDescent="0.25">
      <c r="C9" s="72">
        <f t="shared" ref="C9:C22" si="1">C8+1</f>
        <v>2</v>
      </c>
      <c r="D9" s="34">
        <f t="shared" ref="D9:D15" si="2">D8+2</f>
        <v>5</v>
      </c>
      <c r="E9" s="34">
        <f>D9*$B$3</f>
        <v>500</v>
      </c>
      <c r="F9" s="45">
        <f>1/((1+$F$3)^C9)</f>
        <v>0.98029604940692083</v>
      </c>
      <c r="G9" s="73">
        <f t="shared" si="0"/>
        <v>490.14802470346041</v>
      </c>
      <c r="H9" s="151">
        <f t="shared" ref="H9:H22" si="3">G9+H8</f>
        <v>-9112.8222723262425</v>
      </c>
    </row>
    <row r="10" spans="2:19" x14ac:dyDescent="0.25">
      <c r="C10" s="72">
        <f t="shared" si="1"/>
        <v>3</v>
      </c>
      <c r="D10" s="34">
        <f t="shared" si="2"/>
        <v>7</v>
      </c>
      <c r="E10" s="34">
        <f>D10*$B$3</f>
        <v>700</v>
      </c>
      <c r="F10" s="45">
        <f>1/((1+$F$3)^C10)</f>
        <v>0.97059014792764453</v>
      </c>
      <c r="G10" s="73">
        <f t="shared" si="0"/>
        <v>679.41310354935115</v>
      </c>
      <c r="H10" s="151">
        <f t="shared" si="3"/>
        <v>-8433.4091687768905</v>
      </c>
    </row>
    <row r="11" spans="2:19" x14ac:dyDescent="0.25">
      <c r="C11" s="72">
        <f t="shared" si="1"/>
        <v>4</v>
      </c>
      <c r="D11" s="34">
        <f t="shared" si="2"/>
        <v>9</v>
      </c>
      <c r="E11" s="34">
        <f>D11*$B$3</f>
        <v>900</v>
      </c>
      <c r="F11" s="45">
        <f>1/((1+$F$3)^C11)</f>
        <v>0.96098034448281622</v>
      </c>
      <c r="G11" s="73">
        <f t="shared" si="0"/>
        <v>864.88231003453461</v>
      </c>
      <c r="H11" s="151">
        <f t="shared" si="3"/>
        <v>-7568.5268587423561</v>
      </c>
    </row>
    <row r="12" spans="2:19" x14ac:dyDescent="0.25">
      <c r="C12" s="72">
        <f t="shared" si="1"/>
        <v>5</v>
      </c>
      <c r="D12" s="34">
        <f t="shared" si="2"/>
        <v>11</v>
      </c>
      <c r="E12" s="34">
        <f>D12*$B$3</f>
        <v>1100</v>
      </c>
      <c r="F12" s="45">
        <f>1/((1+$F$3)^C12)</f>
        <v>0.95146568760674888</v>
      </c>
      <c r="G12" s="73">
        <f t="shared" si="0"/>
        <v>1046.6122563674237</v>
      </c>
      <c r="H12" s="151">
        <f t="shared" si="3"/>
        <v>-6521.9146023749327</v>
      </c>
    </row>
    <row r="13" spans="2:19" x14ac:dyDescent="0.25">
      <c r="C13" s="72">
        <f t="shared" si="1"/>
        <v>6</v>
      </c>
      <c r="D13" s="34">
        <f t="shared" si="2"/>
        <v>13</v>
      </c>
      <c r="E13" s="34">
        <f>D13*$B$3</f>
        <v>1300</v>
      </c>
      <c r="F13" s="45">
        <f>1/((1+$F$3)^C13)</f>
        <v>0.94204523525420658</v>
      </c>
      <c r="G13" s="73">
        <f t="shared" si="0"/>
        <v>1224.6588058304685</v>
      </c>
      <c r="H13" s="151">
        <f t="shared" si="3"/>
        <v>-5297.2557965444639</v>
      </c>
    </row>
    <row r="14" spans="2:19" x14ac:dyDescent="0.25">
      <c r="C14" s="72">
        <f t="shared" si="1"/>
        <v>7</v>
      </c>
      <c r="D14" s="34">
        <f t="shared" si="2"/>
        <v>15</v>
      </c>
      <c r="E14" s="34">
        <f>D14*$B$3</f>
        <v>1500</v>
      </c>
      <c r="F14" s="45">
        <f>1/((1+$F$3)^C14)</f>
        <v>0.93271805470713554</v>
      </c>
      <c r="G14" s="73">
        <f t="shared" si="0"/>
        <v>1399.0770820607033</v>
      </c>
      <c r="H14" s="151">
        <f t="shared" si="3"/>
        <v>-3898.1787144837608</v>
      </c>
    </row>
    <row r="15" spans="2:19" x14ac:dyDescent="0.25">
      <c r="C15" s="72">
        <f t="shared" si="1"/>
        <v>8</v>
      </c>
      <c r="D15" s="34">
        <f t="shared" si="2"/>
        <v>17</v>
      </c>
      <c r="E15" s="34">
        <f>D15*$B$3</f>
        <v>1700</v>
      </c>
      <c r="F15" s="45">
        <f>1/((1+$F$3)^C15)</f>
        <v>0.92348322248231218</v>
      </c>
      <c r="G15" s="73">
        <f t="shared" si="0"/>
        <v>1569.9214782199308</v>
      </c>
      <c r="H15" s="151">
        <f t="shared" si="3"/>
        <v>-2328.2572362638302</v>
      </c>
    </row>
    <row r="16" spans="2:19" x14ac:dyDescent="0.25">
      <c r="C16" s="72">
        <f t="shared" si="1"/>
        <v>9</v>
      </c>
      <c r="D16" s="34">
        <f t="shared" ref="D16:D22" si="4">D15-2</f>
        <v>15</v>
      </c>
      <c r="E16" s="34">
        <f>D16*$B$3</f>
        <v>1500</v>
      </c>
      <c r="F16" s="45">
        <f>1/((1+$F$3)^C16)</f>
        <v>0.91433982423991289</v>
      </c>
      <c r="G16" s="73">
        <f t="shared" si="0"/>
        <v>1371.5097363598693</v>
      </c>
      <c r="H16" s="151">
        <f t="shared" si="3"/>
        <v>-956.74749990396094</v>
      </c>
    </row>
    <row r="17" spans="3:8" x14ac:dyDescent="0.25">
      <c r="C17" s="72">
        <f t="shared" si="1"/>
        <v>10</v>
      </c>
      <c r="D17" s="34">
        <f t="shared" si="4"/>
        <v>13</v>
      </c>
      <c r="E17" s="34">
        <f>D17*$B$3</f>
        <v>1300</v>
      </c>
      <c r="F17" s="45">
        <f>1/((1+$F$3)^C17)</f>
        <v>0.90528695469298315</v>
      </c>
      <c r="G17" s="73">
        <f t="shared" si="0"/>
        <v>1176.873041100878</v>
      </c>
      <c r="H17" s="151">
        <f t="shared" si="3"/>
        <v>220.12554119691708</v>
      </c>
    </row>
    <row r="18" spans="3:8" x14ac:dyDescent="0.25">
      <c r="C18" s="72">
        <f t="shared" si="1"/>
        <v>11</v>
      </c>
      <c r="D18" s="34">
        <f t="shared" si="4"/>
        <v>11</v>
      </c>
      <c r="E18" s="34">
        <f>D18*$B$3</f>
        <v>1100</v>
      </c>
      <c r="F18" s="45">
        <f>1/((1+$F$3)^C18)</f>
        <v>0.89632371751780526</v>
      </c>
      <c r="G18" s="73">
        <f t="shared" si="0"/>
        <v>985.95608926958585</v>
      </c>
      <c r="H18" s="151">
        <f t="shared" si="3"/>
        <v>1206.0816304665029</v>
      </c>
    </row>
    <row r="19" spans="3:8" x14ac:dyDescent="0.25">
      <c r="C19" s="72">
        <f t="shared" si="1"/>
        <v>12</v>
      </c>
      <c r="D19" s="34">
        <f t="shared" si="4"/>
        <v>9</v>
      </c>
      <c r="E19" s="34">
        <f>D19*$B$3</f>
        <v>900</v>
      </c>
      <c r="F19" s="45">
        <f>1/((1+$F$3)^C19)</f>
        <v>0.88744922526515368</v>
      </c>
      <c r="G19" s="73">
        <f t="shared" si="0"/>
        <v>798.70430273863826</v>
      </c>
      <c r="H19" s="151">
        <f t="shared" si="3"/>
        <v>2004.7859332051412</v>
      </c>
    </row>
    <row r="20" spans="3:8" x14ac:dyDescent="0.25">
      <c r="C20" s="72">
        <f t="shared" si="1"/>
        <v>13</v>
      </c>
      <c r="D20" s="34">
        <f t="shared" si="4"/>
        <v>7</v>
      </c>
      <c r="E20" s="34">
        <f>D20*$B$3</f>
        <v>700</v>
      </c>
      <c r="F20" s="45">
        <f>1/((1+$F$3)^C20)</f>
        <v>0.87866259927242929</v>
      </c>
      <c r="G20" s="73">
        <f t="shared" si="0"/>
        <v>615.06381949070055</v>
      </c>
      <c r="H20" s="151">
        <f t="shared" si="3"/>
        <v>2619.8497526958417</v>
      </c>
    </row>
    <row r="21" spans="3:8" x14ac:dyDescent="0.25">
      <c r="C21" s="72">
        <f t="shared" si="1"/>
        <v>14</v>
      </c>
      <c r="D21" s="34">
        <f t="shared" si="4"/>
        <v>5</v>
      </c>
      <c r="E21" s="34">
        <f>D21*$B$3</f>
        <v>500</v>
      </c>
      <c r="F21" s="45">
        <f>1/((1+$F$3)^C21)</f>
        <v>0.86996296957666264</v>
      </c>
      <c r="G21" s="73">
        <f t="shared" si="0"/>
        <v>434.98148478833133</v>
      </c>
      <c r="H21" s="151">
        <f t="shared" si="3"/>
        <v>3054.831237484173</v>
      </c>
    </row>
    <row r="22" spans="3:8" ht="15.75" thickBot="1" x14ac:dyDescent="0.3">
      <c r="C22" s="37">
        <f t="shared" si="1"/>
        <v>15</v>
      </c>
      <c r="D22" s="74">
        <f t="shared" si="4"/>
        <v>3</v>
      </c>
      <c r="E22" s="74">
        <f>D22*$B$3</f>
        <v>300</v>
      </c>
      <c r="F22" s="75">
        <f>1/((1+$F$3)^C22)</f>
        <v>0.86134947482837909</v>
      </c>
      <c r="G22" s="76">
        <f t="shared" si="0"/>
        <v>258.4048424485137</v>
      </c>
      <c r="H22" s="152">
        <f t="shared" si="3"/>
        <v>3313.2360799326866</v>
      </c>
    </row>
    <row r="23" spans="3:8" ht="15.75" thickBot="1" x14ac:dyDescent="0.3"/>
    <row r="24" spans="3:8" ht="15.75" thickBot="1" x14ac:dyDescent="0.3">
      <c r="F24" s="21" t="s">
        <v>57</v>
      </c>
      <c r="G24" s="87">
        <f>SUM(G7:G23)</f>
        <v>3313.2360799326866</v>
      </c>
    </row>
    <row r="25" spans="3:8" ht="15.75" thickBot="1" x14ac:dyDescent="0.3">
      <c r="F25" s="21" t="s">
        <v>86</v>
      </c>
      <c r="G25" s="154">
        <f>D3/AVERAGE(G8:G22)</f>
        <v>11.352253081121377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3C90-E10D-4C87-BEC6-AED59D25DAF8}">
  <dimension ref="B1:N18"/>
  <sheetViews>
    <sheetView workbookViewId="0">
      <selection activeCell="J23" sqref="J23"/>
    </sheetView>
  </sheetViews>
  <sheetFormatPr defaultRowHeight="15" x14ac:dyDescent="0.25"/>
  <cols>
    <col min="1" max="1" width="5.28515625" customWidth="1"/>
    <col min="2" max="2" width="8.7109375" bestFit="1" customWidth="1"/>
    <col min="3" max="3" width="9.7109375" bestFit="1" customWidth="1"/>
    <col min="4" max="4" width="10.5703125" bestFit="1" customWidth="1"/>
    <col min="5" max="5" width="5.7109375" bestFit="1" customWidth="1"/>
    <col min="6" max="6" width="14.140625" bestFit="1" customWidth="1"/>
    <col min="7" max="7" width="6.85546875" bestFit="1" customWidth="1"/>
    <col min="8" max="8" width="12.5703125" bestFit="1" customWidth="1"/>
    <col min="9" max="9" width="5.7109375" bestFit="1" customWidth="1"/>
    <col min="10" max="10" width="14.140625" bestFit="1" customWidth="1"/>
    <col min="11" max="11" width="10.5703125" bestFit="1" customWidth="1"/>
    <col min="12" max="12" width="28.42578125" bestFit="1" customWidth="1"/>
    <col min="13" max="13" width="9.42578125" bestFit="1" customWidth="1"/>
    <col min="14" max="14" width="27.28515625" bestFit="1" customWidth="1"/>
  </cols>
  <sheetData>
    <row r="1" spans="2:14" ht="15.75" thickBot="1" x14ac:dyDescent="0.3"/>
    <row r="2" spans="2:14" x14ac:dyDescent="0.25">
      <c r="C2" s="35" t="s">
        <v>43</v>
      </c>
      <c r="D2" s="36">
        <v>600</v>
      </c>
      <c r="F2" s="35" t="s">
        <v>46</v>
      </c>
      <c r="G2" s="39">
        <v>0.5</v>
      </c>
      <c r="H2" s="36">
        <v>1000</v>
      </c>
    </row>
    <row r="3" spans="2:14" ht="15.75" thickBot="1" x14ac:dyDescent="0.3">
      <c r="C3" s="72" t="s">
        <v>35</v>
      </c>
      <c r="D3" s="78">
        <v>0.05</v>
      </c>
      <c r="F3" s="37" t="s">
        <v>47</v>
      </c>
      <c r="G3" s="40">
        <v>0.5</v>
      </c>
      <c r="H3" s="38">
        <v>400</v>
      </c>
    </row>
    <row r="4" spans="2:14" ht="15.75" thickBot="1" x14ac:dyDescent="0.3">
      <c r="C4" s="37" t="s">
        <v>58</v>
      </c>
      <c r="D4" s="38">
        <v>10000</v>
      </c>
    </row>
    <row r="7" spans="2:14" ht="15.75" thickBot="1" x14ac:dyDescent="0.3"/>
    <row r="8" spans="2:14" ht="15.75" thickBot="1" x14ac:dyDescent="0.3">
      <c r="B8" s="43" t="s">
        <v>45</v>
      </c>
      <c r="C8" s="61" t="s">
        <v>51</v>
      </c>
      <c r="D8" s="62" t="s">
        <v>40</v>
      </c>
      <c r="E8" s="47" t="s">
        <v>50</v>
      </c>
      <c r="F8" s="47" t="s">
        <v>44</v>
      </c>
    </row>
    <row r="9" spans="2:14" ht="15.75" thickBot="1" x14ac:dyDescent="0.3">
      <c r="B9" s="41">
        <v>2</v>
      </c>
      <c r="C9" s="63">
        <v>0</v>
      </c>
      <c r="D9" s="64">
        <f t="shared" ref="D9:D14" si="0">1/((1+$D$3)^C9)</f>
        <v>1</v>
      </c>
      <c r="E9" s="48">
        <f>B9*$D$2-D4</f>
        <v>-8800</v>
      </c>
      <c r="F9" s="48">
        <f t="shared" ref="F9:F14" si="1">E9*D9</f>
        <v>-8800</v>
      </c>
      <c r="G9" s="62" t="s">
        <v>55</v>
      </c>
      <c r="H9" s="62" t="s">
        <v>54</v>
      </c>
      <c r="I9" s="47" t="s">
        <v>50</v>
      </c>
      <c r="J9" s="47" t="s">
        <v>44</v>
      </c>
      <c r="K9" s="51" t="s">
        <v>48</v>
      </c>
      <c r="L9" s="51" t="s">
        <v>52</v>
      </c>
      <c r="M9" s="55" t="s">
        <v>49</v>
      </c>
      <c r="N9" s="56" t="s">
        <v>53</v>
      </c>
    </row>
    <row r="10" spans="2:14" x14ac:dyDescent="0.25">
      <c r="B10" s="34">
        <v>5</v>
      </c>
      <c r="C10" s="65">
        <v>1</v>
      </c>
      <c r="D10" s="66">
        <f t="shared" si="0"/>
        <v>0.95238095238095233</v>
      </c>
      <c r="E10" s="49">
        <f t="shared" ref="E10:E14" si="2">B10*$D$2</f>
        <v>3000</v>
      </c>
      <c r="F10" s="50">
        <f t="shared" si="1"/>
        <v>2857.1428571428569</v>
      </c>
      <c r="G10" s="63">
        <v>1</v>
      </c>
      <c r="H10" s="64">
        <f t="shared" ref="H10:H15" si="3">1/((1+$D$3)^G10)</f>
        <v>0.95238095238095233</v>
      </c>
      <c r="I10" s="48">
        <f>$D$2*B9-D4</f>
        <v>-8800</v>
      </c>
      <c r="J10" s="67">
        <f t="shared" ref="J10:J15" si="4">I10*H10</f>
        <v>-8380.9523809523798</v>
      </c>
      <c r="K10" s="52">
        <f>(B9*$H$2-D4)*$G$2</f>
        <v>-4000</v>
      </c>
      <c r="L10" s="53">
        <f>K10*H10</f>
        <v>-3809.5238095238092</v>
      </c>
      <c r="M10" s="57">
        <f>(B9*$H$3-D4)*$G$3</f>
        <v>-4600</v>
      </c>
      <c r="N10" s="58">
        <f t="shared" ref="N10:N15" si="5">M10*H10</f>
        <v>-4380.9523809523807</v>
      </c>
    </row>
    <row r="11" spans="2:14" x14ac:dyDescent="0.25">
      <c r="B11" s="34">
        <v>10</v>
      </c>
      <c r="C11" s="65">
        <f>C10+1</f>
        <v>2</v>
      </c>
      <c r="D11" s="66">
        <f t="shared" si="0"/>
        <v>0.90702947845804982</v>
      </c>
      <c r="E11" s="49">
        <f t="shared" si="2"/>
        <v>6000</v>
      </c>
      <c r="F11" s="50">
        <f t="shared" si="1"/>
        <v>5442.1768707482988</v>
      </c>
      <c r="G11" s="65">
        <v>2</v>
      </c>
      <c r="H11" s="66">
        <f t="shared" si="3"/>
        <v>0.90702947845804982</v>
      </c>
      <c r="I11" s="48">
        <f>$D$2*B10</f>
        <v>3000</v>
      </c>
      <c r="J11" s="50">
        <f t="shared" si="4"/>
        <v>2721.0884353741494</v>
      </c>
      <c r="K11" s="52">
        <f t="shared" ref="K11:K15" si="6">B10*$H$2*$G$2</f>
        <v>2500</v>
      </c>
      <c r="L11" s="54">
        <f t="shared" ref="L11:L15" si="7">K11*H11</f>
        <v>2267.5736961451244</v>
      </c>
      <c r="M11" s="59">
        <f>B10*$H$3*$G$3</f>
        <v>1000</v>
      </c>
      <c r="N11" s="60">
        <f t="shared" si="5"/>
        <v>907.02947845804977</v>
      </c>
    </row>
    <row r="12" spans="2:14" x14ac:dyDescent="0.25">
      <c r="B12" s="34">
        <v>10</v>
      </c>
      <c r="C12" s="65">
        <f>C11+1</f>
        <v>3</v>
      </c>
      <c r="D12" s="66">
        <f t="shared" si="0"/>
        <v>0.86383759853147601</v>
      </c>
      <c r="E12" s="49">
        <f t="shared" si="2"/>
        <v>6000</v>
      </c>
      <c r="F12" s="50">
        <f t="shared" si="1"/>
        <v>5183.0255911888562</v>
      </c>
      <c r="G12" s="65">
        <v>3</v>
      </c>
      <c r="H12" s="66">
        <f t="shared" si="3"/>
        <v>0.86383759853147601</v>
      </c>
      <c r="I12" s="48">
        <f>$D$2*B11</f>
        <v>6000</v>
      </c>
      <c r="J12" s="50">
        <f t="shared" si="4"/>
        <v>5183.0255911888562</v>
      </c>
      <c r="K12" s="52">
        <f t="shared" si="6"/>
        <v>5000</v>
      </c>
      <c r="L12" s="54">
        <f t="shared" si="7"/>
        <v>4319.1879926573802</v>
      </c>
      <c r="M12" s="59">
        <f t="shared" ref="M12:M15" si="8">B11*$H$3*$G$3</f>
        <v>2000</v>
      </c>
      <c r="N12" s="60">
        <f t="shared" si="5"/>
        <v>1727.6751970629521</v>
      </c>
    </row>
    <row r="13" spans="2:14" x14ac:dyDescent="0.25">
      <c r="B13" s="34">
        <v>10</v>
      </c>
      <c r="C13" s="65">
        <f>C12+1</f>
        <v>4</v>
      </c>
      <c r="D13" s="66">
        <f t="shared" si="0"/>
        <v>0.82270247479188197</v>
      </c>
      <c r="E13" s="49">
        <f t="shared" si="2"/>
        <v>6000</v>
      </c>
      <c r="F13" s="50">
        <f t="shared" si="1"/>
        <v>4936.2148487512914</v>
      </c>
      <c r="G13" s="65">
        <v>4</v>
      </c>
      <c r="H13" s="66">
        <f t="shared" si="3"/>
        <v>0.82270247479188197</v>
      </c>
      <c r="I13" s="48">
        <f>$D$2*B12</f>
        <v>6000</v>
      </c>
      <c r="J13" s="50">
        <f t="shared" si="4"/>
        <v>4936.2148487512914</v>
      </c>
      <c r="K13" s="52">
        <f t="shared" si="6"/>
        <v>5000</v>
      </c>
      <c r="L13" s="54">
        <f t="shared" si="7"/>
        <v>4113.5123739594101</v>
      </c>
      <c r="M13" s="59">
        <f t="shared" si="8"/>
        <v>2000</v>
      </c>
      <c r="N13" s="60">
        <f t="shared" si="5"/>
        <v>1645.4049495837639</v>
      </c>
    </row>
    <row r="14" spans="2:14" x14ac:dyDescent="0.25">
      <c r="B14" s="34">
        <v>10</v>
      </c>
      <c r="C14" s="65">
        <f>C13+1</f>
        <v>5</v>
      </c>
      <c r="D14" s="66">
        <f t="shared" si="0"/>
        <v>0.78352616646845896</v>
      </c>
      <c r="E14" s="49">
        <f t="shared" si="2"/>
        <v>6000</v>
      </c>
      <c r="F14" s="50">
        <f t="shared" si="1"/>
        <v>4701.156998810754</v>
      </c>
      <c r="G14" s="65">
        <v>5</v>
      </c>
      <c r="H14" s="66">
        <f t="shared" si="3"/>
        <v>0.78352616646845896</v>
      </c>
      <c r="I14" s="48">
        <f>$D$2*B13</f>
        <v>6000</v>
      </c>
      <c r="J14" s="50">
        <f t="shared" si="4"/>
        <v>4701.156998810754</v>
      </c>
      <c r="K14" s="52">
        <f t="shared" si="6"/>
        <v>5000</v>
      </c>
      <c r="L14" s="54">
        <f t="shared" si="7"/>
        <v>3917.630832342295</v>
      </c>
      <c r="M14" s="59">
        <f t="shared" si="8"/>
        <v>2000</v>
      </c>
      <c r="N14" s="60">
        <f t="shared" si="5"/>
        <v>1567.052332936918</v>
      </c>
    </row>
    <row r="15" spans="2:14" x14ac:dyDescent="0.25">
      <c r="G15" s="65">
        <v>6</v>
      </c>
      <c r="H15" s="66">
        <f t="shared" si="3"/>
        <v>0.74621539663662761</v>
      </c>
      <c r="I15" s="48">
        <f>$D$2*B14</f>
        <v>6000</v>
      </c>
      <c r="J15" s="50">
        <f t="shared" si="4"/>
        <v>4477.2923798197653</v>
      </c>
      <c r="K15" s="52">
        <f t="shared" si="6"/>
        <v>5000</v>
      </c>
      <c r="L15" s="54">
        <f t="shared" si="7"/>
        <v>3731.0769831831381</v>
      </c>
      <c r="M15" s="59">
        <f t="shared" si="8"/>
        <v>2000</v>
      </c>
      <c r="N15" s="60">
        <f t="shared" si="5"/>
        <v>1492.4307932732552</v>
      </c>
    </row>
    <row r="16" spans="2:14" x14ac:dyDescent="0.25">
      <c r="E16" t="s">
        <v>59</v>
      </c>
      <c r="F16" s="107">
        <f>SUM(F9:F14)</f>
        <v>14319.717166642058</v>
      </c>
      <c r="H16" s="46"/>
      <c r="I16" s="46"/>
      <c r="J16" s="46">
        <f>SUM(J10:J15)</f>
        <v>13637.825872992438</v>
      </c>
      <c r="K16" s="46"/>
      <c r="L16" s="107">
        <f>SUM(L10:L15)</f>
        <v>14539.458068763539</v>
      </c>
      <c r="N16" s="46">
        <f>SUM(N10:N15)</f>
        <v>2958.6403703625583</v>
      </c>
    </row>
    <row r="18" spans="6:14" x14ac:dyDescent="0.25">
      <c r="F18" s="46"/>
      <c r="J18" s="46"/>
      <c r="K18" s="46"/>
      <c r="L18" s="46"/>
      <c r="M18" s="46"/>
      <c r="N18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890A-A0A7-438F-9719-CFF17AE5FD4A}">
  <dimension ref="C1:K43"/>
  <sheetViews>
    <sheetView workbookViewId="0">
      <selection activeCell="J16" sqref="J16"/>
    </sheetView>
  </sheetViews>
  <sheetFormatPr defaultRowHeight="15" x14ac:dyDescent="0.25"/>
  <cols>
    <col min="3" max="3" width="3" bestFit="1" customWidth="1"/>
    <col min="4" max="4" width="12" bestFit="1" customWidth="1"/>
    <col min="5" max="5" width="8.140625" bestFit="1" customWidth="1"/>
    <col min="6" max="6" width="10.7109375" bestFit="1" customWidth="1"/>
    <col min="7" max="7" width="16.28515625" bestFit="1" customWidth="1"/>
  </cols>
  <sheetData>
    <row r="1" spans="3:11" x14ac:dyDescent="0.25">
      <c r="D1" t="s">
        <v>50</v>
      </c>
      <c r="E1" t="s">
        <v>68</v>
      </c>
      <c r="F1" t="s">
        <v>40</v>
      </c>
      <c r="G1" t="s">
        <v>66</v>
      </c>
      <c r="J1" s="100" t="s">
        <v>35</v>
      </c>
      <c r="K1" s="12">
        <v>0.3</v>
      </c>
    </row>
    <row r="2" spans="3:11" x14ac:dyDescent="0.25">
      <c r="C2">
        <v>0</v>
      </c>
      <c r="D2">
        <f>K3</f>
        <v>100</v>
      </c>
      <c r="E2" s="98">
        <f>(1+$K$2)^C2</f>
        <v>1</v>
      </c>
      <c r="F2" s="98">
        <f>1/((1+$K$1)^C2)</f>
        <v>1</v>
      </c>
      <c r="G2">
        <f>D2*F2*E2</f>
        <v>100</v>
      </c>
      <c r="J2" s="101" t="s">
        <v>65</v>
      </c>
      <c r="K2" s="103">
        <v>0.1</v>
      </c>
    </row>
    <row r="3" spans="3:11" ht="15.75" thickBot="1" x14ac:dyDescent="0.3">
      <c r="C3">
        <f>C2+1</f>
        <v>1</v>
      </c>
      <c r="D3">
        <f>D2</f>
        <v>100</v>
      </c>
      <c r="E3" s="98">
        <f>(1+$K$2)^C3</f>
        <v>1.1000000000000001</v>
      </c>
      <c r="F3" s="98">
        <f>1/((1+$K$1)^C3)</f>
        <v>0.76923076923076916</v>
      </c>
      <c r="G3">
        <f t="shared" ref="G3:G37" si="0">D3*F3*E3</f>
        <v>84.615384615384613</v>
      </c>
      <c r="J3" s="102" t="s">
        <v>50</v>
      </c>
      <c r="K3" s="104">
        <v>100</v>
      </c>
    </row>
    <row r="4" spans="3:11" x14ac:dyDescent="0.25">
      <c r="C4">
        <f t="shared" ref="C4:C37" si="1">C3+1</f>
        <v>2</v>
      </c>
      <c r="D4">
        <f t="shared" ref="D4:D37" si="2">D3</f>
        <v>100</v>
      </c>
      <c r="E4" s="98">
        <f>(1+$K$2)^C4</f>
        <v>1.2100000000000002</v>
      </c>
      <c r="F4" s="98">
        <f>1/((1+$K$1)^C4)</f>
        <v>0.59171597633136086</v>
      </c>
      <c r="G4">
        <f t="shared" si="0"/>
        <v>71.597633136094672</v>
      </c>
    </row>
    <row r="5" spans="3:11" ht="15.75" thickBot="1" x14ac:dyDescent="0.3">
      <c r="C5">
        <f t="shared" si="1"/>
        <v>3</v>
      </c>
      <c r="D5">
        <f t="shared" si="2"/>
        <v>100</v>
      </c>
      <c r="E5" s="98">
        <f>(1+$K$2)^C5</f>
        <v>1.3310000000000004</v>
      </c>
      <c r="F5" s="98">
        <f>1/((1+$K$1)^C5)</f>
        <v>0.45516613563950831</v>
      </c>
      <c r="G5">
        <f t="shared" si="0"/>
        <v>60.582612653618575</v>
      </c>
    </row>
    <row r="6" spans="3:11" ht="15.75" thickBot="1" x14ac:dyDescent="0.3">
      <c r="C6">
        <f t="shared" si="1"/>
        <v>4</v>
      </c>
      <c r="D6">
        <f t="shared" si="2"/>
        <v>100</v>
      </c>
      <c r="E6" s="98">
        <f>(1+$K$2)^C6</f>
        <v>1.4641000000000004</v>
      </c>
      <c r="F6" s="98">
        <f>1/((1+$K$1)^C6)</f>
        <v>0.35012779664577565</v>
      </c>
      <c r="G6">
        <f t="shared" si="0"/>
        <v>51.262210706908029</v>
      </c>
      <c r="J6" s="42" t="s">
        <v>67</v>
      </c>
      <c r="K6" s="44">
        <f>(G2*(1+K2)/(K1-K2))+K3</f>
        <v>650.00000000000011</v>
      </c>
    </row>
    <row r="7" spans="3:11" x14ac:dyDescent="0.25">
      <c r="C7">
        <f t="shared" si="1"/>
        <v>5</v>
      </c>
      <c r="D7">
        <f t="shared" si="2"/>
        <v>100</v>
      </c>
      <c r="E7" s="98">
        <f>(1+$K$2)^C7</f>
        <v>1.6105100000000006</v>
      </c>
      <c r="F7" s="98">
        <f>1/((1+$K$1)^C7)</f>
        <v>0.26932907434290432</v>
      </c>
      <c r="G7">
        <f t="shared" si="0"/>
        <v>43.3757167519991</v>
      </c>
    </row>
    <row r="8" spans="3:11" x14ac:dyDescent="0.25">
      <c r="C8">
        <f t="shared" si="1"/>
        <v>6</v>
      </c>
      <c r="D8">
        <f t="shared" si="2"/>
        <v>100</v>
      </c>
      <c r="E8" s="98">
        <f>(1+$K$2)^C8</f>
        <v>1.7715610000000008</v>
      </c>
      <c r="F8" s="98">
        <f>1/((1+$K$1)^C8)</f>
        <v>0.20717621103300329</v>
      </c>
      <c r="G8">
        <f t="shared" si="0"/>
        <v>36.702529559383848</v>
      </c>
    </row>
    <row r="9" spans="3:11" x14ac:dyDescent="0.25">
      <c r="C9">
        <f t="shared" si="1"/>
        <v>7</v>
      </c>
      <c r="D9">
        <f t="shared" si="2"/>
        <v>100</v>
      </c>
      <c r="E9" s="98">
        <f>(1+$K$2)^C9</f>
        <v>1.9487171000000012</v>
      </c>
      <c r="F9" s="98">
        <f>1/((1+$K$1)^C9)</f>
        <v>0.1593663161792333</v>
      </c>
      <c r="G9">
        <f t="shared" si="0"/>
        <v>31.05598655024788</v>
      </c>
    </row>
    <row r="10" spans="3:11" x14ac:dyDescent="0.25">
      <c r="C10">
        <f t="shared" si="1"/>
        <v>8</v>
      </c>
      <c r="D10">
        <f t="shared" si="2"/>
        <v>100</v>
      </c>
      <c r="E10" s="98">
        <f>(1+$K$2)^C10</f>
        <v>2.1435888100000011</v>
      </c>
      <c r="F10" s="98">
        <f>1/((1+$K$1)^C10)</f>
        <v>0.12258947398402563</v>
      </c>
      <c r="G10">
        <f t="shared" si="0"/>
        <v>26.27814246559436</v>
      </c>
    </row>
    <row r="11" spans="3:11" x14ac:dyDescent="0.25">
      <c r="C11">
        <f t="shared" si="1"/>
        <v>9</v>
      </c>
      <c r="D11">
        <f t="shared" si="2"/>
        <v>100</v>
      </c>
      <c r="E11" s="98">
        <f>(1+$K$2)^C11</f>
        <v>2.3579476910000015</v>
      </c>
      <c r="F11" s="98">
        <f>1/((1+$K$1)^C11)</f>
        <v>9.4299595372327405E-2</v>
      </c>
      <c r="G11">
        <f t="shared" si="0"/>
        <v>22.235351317041381</v>
      </c>
    </row>
    <row r="12" spans="3:11" x14ac:dyDescent="0.25">
      <c r="C12">
        <f t="shared" si="1"/>
        <v>10</v>
      </c>
      <c r="D12">
        <f t="shared" si="2"/>
        <v>100</v>
      </c>
      <c r="E12" s="98">
        <f>(1+$K$2)^C12</f>
        <v>2.5937424601000019</v>
      </c>
      <c r="F12" s="98">
        <f>1/((1+$K$1)^C12)</f>
        <v>7.2538150286405687E-2</v>
      </c>
      <c r="G12">
        <f t="shared" si="0"/>
        <v>18.814528037496554</v>
      </c>
    </row>
    <row r="13" spans="3:11" x14ac:dyDescent="0.25">
      <c r="C13">
        <f t="shared" si="1"/>
        <v>11</v>
      </c>
      <c r="D13">
        <f t="shared" si="2"/>
        <v>100</v>
      </c>
      <c r="E13" s="98">
        <f>(1+$K$2)^C13</f>
        <v>2.8531167061100025</v>
      </c>
      <c r="F13" s="98">
        <f>1/((1+$K$1)^C13)</f>
        <v>5.579857714338899E-2</v>
      </c>
      <c r="G13">
        <f t="shared" si="0"/>
        <v>15.919985262497086</v>
      </c>
    </row>
    <row r="14" spans="3:11" x14ac:dyDescent="0.25">
      <c r="C14">
        <f t="shared" si="1"/>
        <v>12</v>
      </c>
      <c r="D14">
        <f t="shared" si="2"/>
        <v>100</v>
      </c>
      <c r="E14" s="98">
        <f>(1+$K$2)^C14</f>
        <v>3.1384283767210026</v>
      </c>
      <c r="F14" s="98">
        <f>1/((1+$K$1)^C14)</f>
        <v>4.2921982417991528E-2</v>
      </c>
      <c r="G14">
        <f t="shared" si="0"/>
        <v>13.470756760574458</v>
      </c>
    </row>
    <row r="15" spans="3:11" x14ac:dyDescent="0.25">
      <c r="C15">
        <f t="shared" si="1"/>
        <v>13</v>
      </c>
      <c r="D15">
        <f t="shared" si="2"/>
        <v>100</v>
      </c>
      <c r="E15" s="98">
        <f>(1+$K$2)^C15</f>
        <v>3.4522712143931029</v>
      </c>
      <c r="F15" s="98">
        <f>1/((1+$K$1)^C15)</f>
        <v>3.3016909552301174E-2</v>
      </c>
      <c r="G15">
        <f t="shared" si="0"/>
        <v>11.398332643563002</v>
      </c>
    </row>
    <row r="16" spans="3:11" x14ac:dyDescent="0.25">
      <c r="C16">
        <f t="shared" si="1"/>
        <v>14</v>
      </c>
      <c r="D16">
        <f t="shared" si="2"/>
        <v>100</v>
      </c>
      <c r="E16" s="98">
        <f>(1+$K$2)^C16</f>
        <v>3.7974983358324139</v>
      </c>
      <c r="F16" s="98">
        <f>1/((1+$K$1)^C16)</f>
        <v>2.5397622732539361E-2</v>
      </c>
      <c r="G16">
        <f t="shared" si="0"/>
        <v>9.6447430060917707</v>
      </c>
    </row>
    <row r="17" spans="3:7" x14ac:dyDescent="0.25">
      <c r="C17">
        <f t="shared" si="1"/>
        <v>15</v>
      </c>
      <c r="D17">
        <f t="shared" si="2"/>
        <v>100</v>
      </c>
      <c r="E17" s="98">
        <f>(1+$K$2)^C17</f>
        <v>4.1772481694156554</v>
      </c>
      <c r="F17" s="98">
        <f>1/((1+$K$1)^C17)</f>
        <v>1.9536632871184123E-2</v>
      </c>
      <c r="G17">
        <f t="shared" si="0"/>
        <v>8.1609363897699598</v>
      </c>
    </row>
    <row r="18" spans="3:7" x14ac:dyDescent="0.25">
      <c r="C18">
        <f t="shared" si="1"/>
        <v>16</v>
      </c>
      <c r="D18">
        <f t="shared" si="2"/>
        <v>100</v>
      </c>
      <c r="E18" s="98">
        <f>(1+$K$2)^C18</f>
        <v>4.5949729863572211</v>
      </c>
      <c r="F18" s="98">
        <f>1/((1+$K$1)^C18)</f>
        <v>1.5028179131680095E-2</v>
      </c>
      <c r="G18">
        <f t="shared" si="0"/>
        <v>6.9054077144207353</v>
      </c>
    </row>
    <row r="19" spans="3:7" x14ac:dyDescent="0.25">
      <c r="C19">
        <f t="shared" si="1"/>
        <v>17</v>
      </c>
      <c r="D19">
        <f t="shared" si="2"/>
        <v>100</v>
      </c>
      <c r="E19" s="98">
        <f>(1+$K$2)^C19</f>
        <v>5.0544702849929433</v>
      </c>
      <c r="F19" s="98">
        <f>1/((1+$K$1)^C19)</f>
        <v>1.1560137793600074E-2</v>
      </c>
      <c r="G19">
        <f t="shared" si="0"/>
        <v>5.8430372968175464</v>
      </c>
    </row>
    <row r="20" spans="3:7" x14ac:dyDescent="0.25">
      <c r="C20">
        <f t="shared" si="1"/>
        <v>18</v>
      </c>
      <c r="D20">
        <f t="shared" si="2"/>
        <v>100</v>
      </c>
      <c r="E20" s="98">
        <f>(1+$K$2)^C20</f>
        <v>5.5599173134922379</v>
      </c>
      <c r="F20" s="98">
        <f>1/((1+$K$1)^C20)</f>
        <v>8.8924136873846701E-3</v>
      </c>
      <c r="G20">
        <f t="shared" si="0"/>
        <v>4.9441084819225383</v>
      </c>
    </row>
    <row r="21" spans="3:7" x14ac:dyDescent="0.25">
      <c r="C21">
        <f t="shared" si="1"/>
        <v>19</v>
      </c>
      <c r="D21">
        <f t="shared" si="2"/>
        <v>100</v>
      </c>
      <c r="E21" s="98">
        <f>(1+$K$2)^C21</f>
        <v>6.1159090448414632</v>
      </c>
      <c r="F21" s="98">
        <f>1/((1+$K$1)^C21)</f>
        <v>6.8403182210651304E-3</v>
      </c>
      <c r="G21">
        <f t="shared" si="0"/>
        <v>4.1834764077806099</v>
      </c>
    </row>
    <row r="22" spans="3:7" x14ac:dyDescent="0.25">
      <c r="C22">
        <f t="shared" si="1"/>
        <v>20</v>
      </c>
      <c r="D22">
        <f t="shared" si="2"/>
        <v>100</v>
      </c>
      <c r="E22" s="98">
        <f>(1+$K$2)^C22</f>
        <v>6.7274999493256091</v>
      </c>
      <c r="F22" s="98">
        <f>1/((1+$K$1)^C22)</f>
        <v>5.2617832469731779E-3</v>
      </c>
      <c r="G22">
        <f t="shared" si="0"/>
        <v>3.5398646527374398</v>
      </c>
    </row>
    <row r="23" spans="3:7" x14ac:dyDescent="0.25">
      <c r="C23">
        <f t="shared" si="1"/>
        <v>21</v>
      </c>
      <c r="D23">
        <f t="shared" si="2"/>
        <v>100</v>
      </c>
      <c r="E23" s="98">
        <f>(1+$K$2)^C23</f>
        <v>7.4002499442581708</v>
      </c>
      <c r="F23" s="98">
        <f>1/((1+$K$1)^C23)</f>
        <v>4.0475255745947517E-3</v>
      </c>
      <c r="G23">
        <f t="shared" si="0"/>
        <v>2.9952700907778333</v>
      </c>
    </row>
    <row r="24" spans="3:7" x14ac:dyDescent="0.25">
      <c r="C24">
        <f t="shared" si="1"/>
        <v>22</v>
      </c>
      <c r="D24">
        <f t="shared" si="2"/>
        <v>100</v>
      </c>
      <c r="E24" s="98">
        <f>(1+$K$2)^C24</f>
        <v>8.140274938683989</v>
      </c>
      <c r="F24" s="98">
        <f>1/((1+$K$1)^C24)</f>
        <v>3.1134812112267323E-3</v>
      </c>
      <c r="G24">
        <f t="shared" si="0"/>
        <v>2.534459307581244</v>
      </c>
    </row>
    <row r="25" spans="3:7" x14ac:dyDescent="0.25">
      <c r="C25">
        <f t="shared" si="1"/>
        <v>23</v>
      </c>
      <c r="D25">
        <f t="shared" si="2"/>
        <v>100</v>
      </c>
      <c r="E25" s="98">
        <f>(1+$K$2)^C25</f>
        <v>8.9543024325523888</v>
      </c>
      <c r="F25" s="98">
        <f>1/((1+$K$1)^C25)</f>
        <v>2.3949855470974859E-3</v>
      </c>
      <c r="G25">
        <f t="shared" si="0"/>
        <v>2.144542491030283</v>
      </c>
    </row>
    <row r="26" spans="3:7" x14ac:dyDescent="0.25">
      <c r="C26">
        <f t="shared" si="1"/>
        <v>24</v>
      </c>
      <c r="D26">
        <f t="shared" si="2"/>
        <v>100</v>
      </c>
      <c r="E26" s="98">
        <f>(1+$K$2)^C26</f>
        <v>9.8497326758076262</v>
      </c>
      <c r="F26" s="98">
        <f>1/((1+$K$1)^C26)</f>
        <v>1.8422965746903741E-3</v>
      </c>
      <c r="G26">
        <f t="shared" si="0"/>
        <v>1.8146128770256242</v>
      </c>
    </row>
    <row r="27" spans="3:7" x14ac:dyDescent="0.25">
      <c r="C27">
        <f t="shared" si="1"/>
        <v>25</v>
      </c>
      <c r="D27">
        <f t="shared" si="2"/>
        <v>100</v>
      </c>
      <c r="E27" s="98">
        <f>(1+$K$2)^C27</f>
        <v>10.834705943388391</v>
      </c>
      <c r="F27" s="98">
        <f>1/((1+$K$1)^C27)</f>
        <v>1.4171512113002876E-3</v>
      </c>
      <c r="G27">
        <f t="shared" si="0"/>
        <v>1.5354416651755285</v>
      </c>
    </row>
    <row r="28" spans="3:7" x14ac:dyDescent="0.25">
      <c r="C28">
        <f t="shared" si="1"/>
        <v>26</v>
      </c>
      <c r="D28">
        <f t="shared" si="2"/>
        <v>100</v>
      </c>
      <c r="E28" s="98">
        <f>(1+$K$2)^C28</f>
        <v>11.918176537727231</v>
      </c>
      <c r="F28" s="98">
        <f>1/((1+$K$1)^C28)</f>
        <v>1.0901163163848366E-3</v>
      </c>
      <c r="G28">
        <f t="shared" si="0"/>
        <v>1.2992198705331395</v>
      </c>
    </row>
    <row r="29" spans="3:7" x14ac:dyDescent="0.25">
      <c r="C29">
        <f t="shared" si="1"/>
        <v>27</v>
      </c>
      <c r="D29">
        <f t="shared" si="2"/>
        <v>100</v>
      </c>
      <c r="E29" s="98">
        <f>(1+$K$2)^C29</f>
        <v>13.109994191499956</v>
      </c>
      <c r="F29" s="98">
        <f>1/((1+$K$1)^C29)</f>
        <v>8.3855101260372025E-4</v>
      </c>
      <c r="G29">
        <f t="shared" si="0"/>
        <v>1.099339890451118</v>
      </c>
    </row>
    <row r="30" spans="3:7" x14ac:dyDescent="0.25">
      <c r="C30">
        <f t="shared" si="1"/>
        <v>28</v>
      </c>
      <c r="D30">
        <f t="shared" si="2"/>
        <v>100</v>
      </c>
      <c r="E30" s="98">
        <f>(1+$K$2)^C30</f>
        <v>14.420993610649951</v>
      </c>
      <c r="F30" s="98">
        <f>1/((1+$K$1)^C30)</f>
        <v>6.4503924046440027E-4</v>
      </c>
      <c r="G30">
        <f t="shared" si="0"/>
        <v>0.93021067653556133</v>
      </c>
    </row>
    <row r="31" spans="3:7" x14ac:dyDescent="0.25">
      <c r="C31">
        <f t="shared" si="1"/>
        <v>29</v>
      </c>
      <c r="D31">
        <f t="shared" si="2"/>
        <v>100</v>
      </c>
      <c r="E31" s="98">
        <f>(1+$K$2)^C31</f>
        <v>15.863092971714947</v>
      </c>
      <c r="F31" s="98">
        <f>1/((1+$K$1)^C31)</f>
        <v>4.9618403112646164E-4</v>
      </c>
      <c r="G31">
        <f t="shared" si="0"/>
        <v>0.78710134168393631</v>
      </c>
    </row>
    <row r="32" spans="3:7" x14ac:dyDescent="0.25">
      <c r="C32">
        <f t="shared" si="1"/>
        <v>30</v>
      </c>
      <c r="D32">
        <f t="shared" si="2"/>
        <v>100</v>
      </c>
      <c r="E32" s="98">
        <f>(1+$K$2)^C32</f>
        <v>17.449402268886445</v>
      </c>
      <c r="F32" s="98">
        <f>1/((1+$K$1)^C32)</f>
        <v>3.8168002394343205E-4</v>
      </c>
      <c r="G32">
        <f t="shared" si="0"/>
        <v>0.6660088275787156</v>
      </c>
    </row>
    <row r="33" spans="3:7" x14ac:dyDescent="0.25">
      <c r="C33">
        <f t="shared" si="1"/>
        <v>31</v>
      </c>
      <c r="D33">
        <f t="shared" si="2"/>
        <v>100</v>
      </c>
      <c r="E33" s="98">
        <f>(1+$K$2)^C33</f>
        <v>19.194342495775089</v>
      </c>
      <c r="F33" s="98">
        <f>1/((1+$K$1)^C33)</f>
        <v>2.9360001841802463E-4</v>
      </c>
      <c r="G33">
        <f t="shared" si="0"/>
        <v>0.56354593102814388</v>
      </c>
    </row>
    <row r="34" spans="3:7" x14ac:dyDescent="0.25">
      <c r="C34">
        <f t="shared" si="1"/>
        <v>32</v>
      </c>
      <c r="D34">
        <f t="shared" si="2"/>
        <v>100</v>
      </c>
      <c r="E34" s="98">
        <f>(1+$K$2)^C34</f>
        <v>21.113776745352599</v>
      </c>
      <c r="F34" s="98">
        <f>1/((1+$K$1)^C34)</f>
        <v>2.2584616801386509E-4</v>
      </c>
      <c r="G34">
        <f t="shared" si="0"/>
        <v>0.47684655702381401</v>
      </c>
    </row>
    <row r="35" spans="3:7" x14ac:dyDescent="0.25">
      <c r="C35">
        <f t="shared" si="1"/>
        <v>33</v>
      </c>
      <c r="D35">
        <f t="shared" si="2"/>
        <v>100</v>
      </c>
      <c r="E35" s="98">
        <f>(1+$K$2)^C35</f>
        <v>23.225154419887861</v>
      </c>
      <c r="F35" s="98">
        <f>1/((1+$K$1)^C35)</f>
        <v>1.73727821549127E-4</v>
      </c>
      <c r="G35">
        <f t="shared" si="0"/>
        <v>0.40348554825091965</v>
      </c>
    </row>
    <row r="36" spans="3:7" x14ac:dyDescent="0.25">
      <c r="C36">
        <f t="shared" si="1"/>
        <v>34</v>
      </c>
      <c r="D36">
        <f t="shared" si="2"/>
        <v>100</v>
      </c>
      <c r="E36" s="98">
        <f>(1+$K$2)^C36</f>
        <v>25.547669861876649</v>
      </c>
      <c r="F36" s="98">
        <f>1/((1+$K$1)^C36)</f>
        <v>1.3363678580702076E-4</v>
      </c>
      <c r="G36">
        <f t="shared" si="0"/>
        <v>0.34141084852000897</v>
      </c>
    </row>
    <row r="37" spans="3:7" x14ac:dyDescent="0.25">
      <c r="C37">
        <f t="shared" si="1"/>
        <v>35</v>
      </c>
      <c r="D37">
        <f t="shared" si="2"/>
        <v>100</v>
      </c>
      <c r="E37" s="98">
        <f>(1+$K$2)^C37</f>
        <v>28.102436848064318</v>
      </c>
      <c r="F37" s="98">
        <f>1/((1+$K$1)^C37)</f>
        <v>1.0279752754386209E-4</v>
      </c>
      <c r="G37">
        <f t="shared" si="0"/>
        <v>0.28888610259385367</v>
      </c>
    </row>
    <row r="38" spans="3:7" x14ac:dyDescent="0.25">
      <c r="C38">
        <f t="shared" ref="C38:C41" si="3">C37+1</f>
        <v>36</v>
      </c>
      <c r="D38">
        <f t="shared" ref="D38:D41" si="4">D37</f>
        <v>100</v>
      </c>
      <c r="E38" s="98">
        <f t="shared" ref="E38:E41" si="5">(1+$K$2)^C38</f>
        <v>30.912680532870748</v>
      </c>
      <c r="F38" s="98">
        <f t="shared" ref="F38:F41" si="6">1/((1+$K$1)^C38)</f>
        <v>7.9075021187586229E-5</v>
      </c>
      <c r="G38">
        <f t="shared" ref="G38:G41" si="7">D38*F38*E38</f>
        <v>0.2444420868101839</v>
      </c>
    </row>
    <row r="39" spans="3:7" x14ac:dyDescent="0.25">
      <c r="C39">
        <f t="shared" si="3"/>
        <v>37</v>
      </c>
      <c r="D39">
        <f t="shared" si="4"/>
        <v>100</v>
      </c>
      <c r="E39" s="98">
        <f t="shared" si="5"/>
        <v>34.003948586157826</v>
      </c>
      <c r="F39" s="98">
        <f t="shared" si="6"/>
        <v>6.082693937506633E-5</v>
      </c>
      <c r="G39">
        <f t="shared" si="7"/>
        <v>0.20683561191630945</v>
      </c>
    </row>
    <row r="40" spans="3:7" x14ac:dyDescent="0.25">
      <c r="C40">
        <f t="shared" si="3"/>
        <v>38</v>
      </c>
      <c r="D40">
        <f t="shared" si="4"/>
        <v>100</v>
      </c>
      <c r="E40" s="98">
        <f t="shared" si="5"/>
        <v>37.404343444773616</v>
      </c>
      <c r="F40" s="98">
        <f t="shared" si="6"/>
        <v>4.6789953365435637E-5</v>
      </c>
      <c r="G40">
        <f t="shared" si="7"/>
        <v>0.17501474854456958</v>
      </c>
    </row>
    <row r="41" spans="3:7" x14ac:dyDescent="0.25">
      <c r="C41">
        <f t="shared" si="3"/>
        <v>39</v>
      </c>
      <c r="D41">
        <f t="shared" si="4"/>
        <v>100</v>
      </c>
      <c r="E41" s="98">
        <f t="shared" si="5"/>
        <v>41.144777789250981</v>
      </c>
      <c r="F41" s="98">
        <f t="shared" si="6"/>
        <v>3.5992271819565869E-5</v>
      </c>
      <c r="G41">
        <f t="shared" si="7"/>
        <v>0.14808940261463577</v>
      </c>
    </row>
    <row r="42" spans="3:7" x14ac:dyDescent="0.25">
      <c r="C42">
        <f t="shared" ref="C42:C43" si="8">C41+1</f>
        <v>40</v>
      </c>
      <c r="D42">
        <f t="shared" ref="D42:D43" si="9">D41</f>
        <v>100</v>
      </c>
      <c r="E42" s="98">
        <f t="shared" ref="E42:E43" si="10">(1+$K$2)^C42</f>
        <v>45.259255568176073</v>
      </c>
      <c r="F42" s="98">
        <f t="shared" ref="F42:F43" si="11">1/((1+$K$1)^C42)</f>
        <v>2.7686362938127596E-5</v>
      </c>
      <c r="G42">
        <f t="shared" ref="G42:G43" si="12">D42*F42*E42</f>
        <v>0.12530641759699951</v>
      </c>
    </row>
    <row r="43" spans="3:7" x14ac:dyDescent="0.25">
      <c r="C43">
        <f t="shared" si="8"/>
        <v>41</v>
      </c>
      <c r="D43">
        <f t="shared" si="9"/>
        <v>100</v>
      </c>
      <c r="E43" s="98">
        <f t="shared" si="10"/>
        <v>49.785181124993684</v>
      </c>
      <c r="F43" s="98">
        <f t="shared" si="11"/>
        <v>2.1297202260098152E-5</v>
      </c>
      <c r="G43">
        <f t="shared" si="12"/>
        <v>0.10602850719746114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9AF8-0940-4D99-8D63-B709CAD3289E}">
  <dimension ref="A1:H35"/>
  <sheetViews>
    <sheetView workbookViewId="0">
      <selection activeCell="H35" sqref="H35"/>
    </sheetView>
  </sheetViews>
  <sheetFormatPr defaultRowHeight="15" x14ac:dyDescent="0.25"/>
  <sheetData>
    <row r="1" spans="1:8" x14ac:dyDescent="0.25">
      <c r="A1" t="s">
        <v>71</v>
      </c>
      <c r="B1" t="s">
        <v>72</v>
      </c>
      <c r="C1" t="s">
        <v>73</v>
      </c>
      <c r="D1" t="s">
        <v>69</v>
      </c>
      <c r="E1" t="s">
        <v>27</v>
      </c>
      <c r="F1" t="s">
        <v>74</v>
      </c>
      <c r="G1" t="s">
        <v>70</v>
      </c>
    </row>
    <row r="2" spans="1:8" x14ac:dyDescent="0.25">
      <c r="A2">
        <v>0.80373516811392209</v>
      </c>
      <c r="B2">
        <v>1</v>
      </c>
      <c r="C2">
        <v>1</v>
      </c>
      <c r="D2">
        <v>11.698974787323735</v>
      </c>
      <c r="E2">
        <v>0</v>
      </c>
      <c r="F2">
        <f>E2</f>
        <v>0</v>
      </c>
      <c r="G2">
        <v>0</v>
      </c>
    </row>
    <row r="3" spans="1:8" x14ac:dyDescent="0.25">
      <c r="A3" t="s">
        <v>75</v>
      </c>
      <c r="B3">
        <v>2</v>
      </c>
      <c r="C3">
        <f>C2+1</f>
        <v>2</v>
      </c>
      <c r="D3">
        <v>6.3707742230143305</v>
      </c>
      <c r="E3">
        <f>D3-D2</f>
        <v>-5.3282005643094044</v>
      </c>
      <c r="F3">
        <f>(E3-E2)*$A$4+(1-$A$4)*F2</f>
        <v>-2.6641002821547022</v>
      </c>
      <c r="G3">
        <f>D2</f>
        <v>11.698974787323735</v>
      </c>
      <c r="H3">
        <f>(G3-D3)^2</f>
        <v>28.389721253507055</v>
      </c>
    </row>
    <row r="4" spans="1:8" x14ac:dyDescent="0.25">
      <c r="A4">
        <v>0.5</v>
      </c>
      <c r="B4">
        <v>3</v>
      </c>
      <c r="C4">
        <f t="shared" ref="C4:C33" si="0">C3+1</f>
        <v>3</v>
      </c>
      <c r="D4">
        <v>290.06015858878936</v>
      </c>
      <c r="E4">
        <f t="shared" ref="E4:E33" si="1">D4-D3</f>
        <v>283.68938436577503</v>
      </c>
      <c r="F4">
        <f t="shared" ref="F4:F33" si="2">(E4-E3)*$A$4+(1-$A$4)*F3</f>
        <v>143.17674232396485</v>
      </c>
      <c r="G4">
        <f>G3*$A$2+(1-$A$2)*D3</f>
        <v>10.653236399314245</v>
      </c>
      <c r="H4">
        <f>(G4-D4)^2</f>
        <v>78068.228167395384</v>
      </c>
    </row>
    <row r="5" spans="1:8" x14ac:dyDescent="0.25">
      <c r="B5">
        <v>4</v>
      </c>
      <c r="C5">
        <f t="shared" si="0"/>
        <v>4</v>
      </c>
      <c r="D5">
        <v>6.7683748530608323</v>
      </c>
      <c r="E5">
        <f t="shared" si="1"/>
        <v>-283.29178373572853</v>
      </c>
      <c r="F5">
        <f t="shared" si="2"/>
        <v>-211.90221288876933</v>
      </c>
      <c r="G5">
        <f>G4*$A$2+(1-$A$2)*D4</f>
        <v>65.490989010638032</v>
      </c>
      <c r="H5">
        <f>(G5-D5)^2</f>
        <v>3448.3454134996859</v>
      </c>
    </row>
    <row r="6" spans="1:8" x14ac:dyDescent="0.25">
      <c r="B6">
        <v>1</v>
      </c>
      <c r="C6">
        <f t="shared" si="0"/>
        <v>5</v>
      </c>
      <c r="D6">
        <v>85.895497975635777</v>
      </c>
      <c r="E6">
        <f t="shared" si="1"/>
        <v>79.127123122574943</v>
      </c>
      <c r="F6">
        <f t="shared" si="2"/>
        <v>75.258346984767059</v>
      </c>
      <c r="G6">
        <f>G5*$A$2+(1-$A$2)*D5</f>
        <v>53.965805015090126</v>
      </c>
      <c r="H6">
        <f>(G6-D6)^2</f>
        <v>1019.5052925547185</v>
      </c>
    </row>
    <row r="7" spans="1:8" x14ac:dyDescent="0.25">
      <c r="B7">
        <v>2</v>
      </c>
      <c r="C7">
        <f t="shared" si="0"/>
        <v>6</v>
      </c>
      <c r="D7">
        <v>16.064281144825678</v>
      </c>
      <c r="E7">
        <f t="shared" si="1"/>
        <v>-69.831216830810092</v>
      </c>
      <c r="F7">
        <f t="shared" si="2"/>
        <v>-36.849996484308988</v>
      </c>
      <c r="G7">
        <f>G6*$A$2+(1-$A$2)*D6</f>
        <v>60.232480836165706</v>
      </c>
      <c r="H7">
        <f>(G7-D7)^2</f>
        <v>1950.8298639740894</v>
      </c>
    </row>
    <row r="8" spans="1:8" x14ac:dyDescent="0.25">
      <c r="B8">
        <v>3</v>
      </c>
      <c r="C8">
        <f t="shared" si="0"/>
        <v>7</v>
      </c>
      <c r="D8">
        <v>58.112144520818319</v>
      </c>
      <c r="E8">
        <f t="shared" si="1"/>
        <v>42.047863375992641</v>
      </c>
      <c r="F8">
        <f t="shared" si="2"/>
        <v>37.514541861246876</v>
      </c>
      <c r="G8">
        <f>G7*$A$2+(1-$A$2)*D7</f>
        <v>51.563816549034136</v>
      </c>
      <c r="H8">
        <f>(G8-D8)^2</f>
        <v>42.880599226051146</v>
      </c>
    </row>
    <row r="9" spans="1:8" x14ac:dyDescent="0.25">
      <c r="B9">
        <v>4</v>
      </c>
      <c r="C9">
        <f t="shared" si="0"/>
        <v>8</v>
      </c>
      <c r="D9">
        <v>103.59631919165034</v>
      </c>
      <c r="E9">
        <f t="shared" si="1"/>
        <v>45.484174670832019</v>
      </c>
      <c r="F9">
        <f t="shared" si="2"/>
        <v>20.475426578043127</v>
      </c>
      <c r="G9">
        <f>G8*$A$2+(1-$A$2)*D8</f>
        <v>52.849023037551262</v>
      </c>
      <c r="H9">
        <f>(G9-D9)^2</f>
        <v>2575.2880669518386</v>
      </c>
    </row>
    <row r="10" spans="1:8" x14ac:dyDescent="0.25">
      <c r="B10">
        <v>1</v>
      </c>
      <c r="C10">
        <f t="shared" si="0"/>
        <v>9</v>
      </c>
      <c r="D10">
        <v>81.984542285280497</v>
      </c>
      <c r="E10">
        <f t="shared" si="1"/>
        <v>-21.61177690636984</v>
      </c>
      <c r="F10">
        <f t="shared" si="2"/>
        <v>-23.310262499579366</v>
      </c>
      <c r="G10">
        <f>G9*$A$2+(1-$A$2)*D9</f>
        <v>62.808932585908522</v>
      </c>
      <c r="H10">
        <f>(G10-D10)^2</f>
        <v>367.70400734264859</v>
      </c>
    </row>
    <row r="11" spans="1:8" x14ac:dyDescent="0.25">
      <c r="B11">
        <v>2</v>
      </c>
      <c r="C11">
        <f t="shared" si="0"/>
        <v>10</v>
      </c>
      <c r="D11">
        <v>180.54625348980073</v>
      </c>
      <c r="E11">
        <f t="shared" si="1"/>
        <v>98.561711204520236</v>
      </c>
      <c r="F11">
        <f t="shared" si="2"/>
        <v>48.431612805655355</v>
      </c>
      <c r="G11">
        <f>G10*$A$2+(1-$A$2)*D10</f>
        <v>66.572430399868807</v>
      </c>
      <c r="H11">
        <f>(G11-D11)^2</f>
        <v>12990.0323497351</v>
      </c>
    </row>
    <row r="12" spans="1:8" x14ac:dyDescent="0.25">
      <c r="B12">
        <v>3</v>
      </c>
      <c r="C12">
        <f t="shared" si="0"/>
        <v>11</v>
      </c>
      <c r="D12">
        <v>193.44767416874561</v>
      </c>
      <c r="E12">
        <f t="shared" si="1"/>
        <v>12.901420678944874</v>
      </c>
      <c r="F12">
        <f t="shared" si="2"/>
        <v>-18.614338859960004</v>
      </c>
      <c r="G12">
        <f>G11*$A$2+(1-$A$2)*D11</f>
        <v>88.941483628027882</v>
      </c>
      <c r="H12">
        <f>(G12-D12)^2</f>
        <v>10921.543861332799</v>
      </c>
    </row>
    <row r="13" spans="1:8" x14ac:dyDescent="0.25">
      <c r="B13">
        <v>4</v>
      </c>
      <c r="C13">
        <f t="shared" si="0"/>
        <v>12</v>
      </c>
      <c r="D13">
        <v>211.22356010849632</v>
      </c>
      <c r="E13">
        <f t="shared" si="1"/>
        <v>17.775885939750708</v>
      </c>
      <c r="F13">
        <f t="shared" si="2"/>
        <v>-6.8699367995770846</v>
      </c>
      <c r="G13">
        <f>G12*$A$2+(1-$A$2)*D12</f>
        <v>109.45237354555627</v>
      </c>
      <c r="H13">
        <f>(G13-D13)^2</f>
        <v>10357.374414428748</v>
      </c>
    </row>
    <row r="14" spans="1:8" x14ac:dyDescent="0.25">
      <c r="B14">
        <v>1</v>
      </c>
      <c r="C14">
        <f t="shared" si="0"/>
        <v>13</v>
      </c>
      <c r="D14">
        <v>66.557776123096232</v>
      </c>
      <c r="E14">
        <f t="shared" si="1"/>
        <v>-144.66578398540008</v>
      </c>
      <c r="F14">
        <f t="shared" si="2"/>
        <v>-84.65580336236394</v>
      </c>
      <c r="G14">
        <f>G13*$A$2+(1-$A$2)*D13</f>
        <v>129.42647836717836</v>
      </c>
      <c r="H14">
        <f>(G14-D14)^2</f>
        <v>3952.4737218550572</v>
      </c>
    </row>
    <row r="15" spans="1:8" x14ac:dyDescent="0.25">
      <c r="B15">
        <v>2</v>
      </c>
      <c r="C15">
        <f t="shared" si="0"/>
        <v>14</v>
      </c>
      <c r="D15">
        <v>166.90940705103273</v>
      </c>
      <c r="E15">
        <f t="shared" si="1"/>
        <v>100.3516309279365</v>
      </c>
      <c r="F15">
        <f t="shared" si="2"/>
        <v>80.18080577548632</v>
      </c>
      <c r="G15">
        <f>G14*$A$2+(1-$A$2)*D14</f>
        <v>117.08756309034769</v>
      </c>
      <c r="H15">
        <f>(G15-D15)^2</f>
        <v>2482.2161356428487</v>
      </c>
    </row>
    <row r="16" spans="1:8" x14ac:dyDescent="0.25">
      <c r="B16">
        <v>3</v>
      </c>
      <c r="C16">
        <f t="shared" si="0"/>
        <v>15</v>
      </c>
      <c r="D16">
        <v>120.39225246129379</v>
      </c>
      <c r="E16">
        <f t="shared" si="1"/>
        <v>-46.517154589738936</v>
      </c>
      <c r="F16">
        <f t="shared" si="2"/>
        <v>-33.343989871094557</v>
      </c>
      <c r="G16">
        <f>G15*$A$2+(1-$A$2)*D15</f>
        <v>126.86583891954595</v>
      </c>
      <c r="H16">
        <f>(G16-D16)^2</f>
        <v>41.90732163246571</v>
      </c>
    </row>
    <row r="17" spans="2:8" x14ac:dyDescent="0.25">
      <c r="B17">
        <v>4</v>
      </c>
      <c r="C17">
        <f t="shared" si="0"/>
        <v>16</v>
      </c>
      <c r="D17">
        <v>107.44156842998835</v>
      </c>
      <c r="E17">
        <f t="shared" si="1"/>
        <v>-12.950684031305443</v>
      </c>
      <c r="F17">
        <f t="shared" si="2"/>
        <v>0.11124034366946844</v>
      </c>
      <c r="G17">
        <f>G16*$A$2+(1-$A$2)*D16</f>
        <v>125.59530156161711</v>
      </c>
      <c r="H17">
        <f>(G17-D17)^2</f>
        <v>329.55802661439554</v>
      </c>
    </row>
    <row r="18" spans="2:8" x14ac:dyDescent="0.25">
      <c r="B18">
        <v>1</v>
      </c>
      <c r="C18">
        <f t="shared" si="0"/>
        <v>17</v>
      </c>
      <c r="D18">
        <v>31.512146036505641</v>
      </c>
      <c r="E18">
        <f t="shared" si="1"/>
        <v>-75.92942239348271</v>
      </c>
      <c r="F18">
        <f t="shared" si="2"/>
        <v>-31.433749009253901</v>
      </c>
      <c r="G18">
        <f>G17*$A$2+(1-$A$2)*D17</f>
        <v>122.03236218043327</v>
      </c>
      <c r="H18">
        <f>(G18-D18)^2</f>
        <v>8193.9095307433763</v>
      </c>
    </row>
    <row r="19" spans="2:8" x14ac:dyDescent="0.25">
      <c r="B19">
        <v>2</v>
      </c>
      <c r="C19">
        <f t="shared" si="0"/>
        <v>18</v>
      </c>
      <c r="D19">
        <v>101.11478270403738</v>
      </c>
      <c r="E19">
        <f t="shared" si="1"/>
        <v>69.60263666753174</v>
      </c>
      <c r="F19">
        <f t="shared" si="2"/>
        <v>57.049155025880275</v>
      </c>
      <c r="G19">
        <f>G18*$A$2+(1-$A$2)*D18</f>
        <v>104.26642717665388</v>
      </c>
      <c r="H19">
        <f>(G19-D19)^2</f>
        <v>9.9328628817741134</v>
      </c>
    </row>
    <row r="20" spans="2:8" x14ac:dyDescent="0.25">
      <c r="B20">
        <v>3</v>
      </c>
      <c r="C20">
        <f t="shared" si="0"/>
        <v>19</v>
      </c>
      <c r="D20">
        <v>292.66835425734274</v>
      </c>
      <c r="E20">
        <f t="shared" si="1"/>
        <v>191.55357155330535</v>
      </c>
      <c r="F20">
        <f t="shared" si="2"/>
        <v>89.500044955826937</v>
      </c>
      <c r="G20">
        <f>G19*$A$2+(1-$A$2)*D19</f>
        <v>103.64787020407111</v>
      </c>
      <c r="H20">
        <f>(G20-D20)^2</f>
        <v>35728.743391733107</v>
      </c>
    </row>
    <row r="21" spans="2:8" x14ac:dyDescent="0.25">
      <c r="B21">
        <v>4</v>
      </c>
      <c r="C21">
        <f t="shared" si="0"/>
        <v>20</v>
      </c>
      <c r="D21">
        <v>277.83944479802602</v>
      </c>
      <c r="E21">
        <f t="shared" si="1"/>
        <v>-14.828909459316719</v>
      </c>
      <c r="F21">
        <f t="shared" si="2"/>
        <v>-58.441218028397564</v>
      </c>
      <c r="G21">
        <f>G20*$A$2+(1-$A$2)*D20</f>
        <v>140.74594372981153</v>
      </c>
      <c r="H21">
        <f>(G21-D21)^2</f>
        <v>18794.628035140529</v>
      </c>
    </row>
    <row r="22" spans="2:8" x14ac:dyDescent="0.25">
      <c r="B22">
        <v>1</v>
      </c>
      <c r="C22">
        <f t="shared" si="0"/>
        <v>21</v>
      </c>
      <c r="D22">
        <v>67.940976457246549</v>
      </c>
      <c r="E22">
        <f t="shared" si="1"/>
        <v>-209.89846834077946</v>
      </c>
      <c r="F22">
        <f t="shared" si="2"/>
        <v>-126.75538845493016</v>
      </c>
      <c r="G22">
        <f>G21*$A$2+(1-$A$2)*D21</f>
        <v>167.65257666963848</v>
      </c>
      <c r="H22">
        <f>(G22-D22)^2</f>
        <v>9942.4032169158781</v>
      </c>
    </row>
    <row r="23" spans="2:8" x14ac:dyDescent="0.25">
      <c r="B23">
        <v>2</v>
      </c>
      <c r="C23">
        <f t="shared" si="0"/>
        <v>22</v>
      </c>
      <c r="D23">
        <v>124.58952300051074</v>
      </c>
      <c r="E23">
        <f t="shared" si="1"/>
        <v>56.648546543264189</v>
      </c>
      <c r="F23">
        <f t="shared" si="2"/>
        <v>69.895813214556739</v>
      </c>
      <c r="G23">
        <f>G22*$A$2+(1-$A$2)*D22</f>
        <v>148.08269621686156</v>
      </c>
      <c r="H23">
        <f>(G23-D23)^2</f>
        <v>551.92918777346381</v>
      </c>
    </row>
    <row r="24" spans="2:8" x14ac:dyDescent="0.25">
      <c r="B24">
        <v>3</v>
      </c>
      <c r="C24">
        <f t="shared" si="0"/>
        <v>23</v>
      </c>
      <c r="D24">
        <v>10.927763154618841</v>
      </c>
      <c r="E24">
        <f t="shared" si="1"/>
        <v>-113.66175984589189</v>
      </c>
      <c r="F24">
        <f t="shared" si="2"/>
        <v>-50.207246587299679</v>
      </c>
      <c r="G24">
        <f>G23*$A$2+(1-$A$2)*D23</f>
        <v>143.47181252508395</v>
      </c>
      <c r="H24">
        <f>(G24-D24)^2</f>
        <v>17567.925023520289</v>
      </c>
    </row>
    <row r="25" spans="2:8" x14ac:dyDescent="0.25">
      <c r="B25">
        <v>4</v>
      </c>
      <c r="C25">
        <f t="shared" si="0"/>
        <v>24</v>
      </c>
      <c r="D25">
        <v>27.829064982040428</v>
      </c>
      <c r="E25">
        <f t="shared" si="1"/>
        <v>16.901301827421587</v>
      </c>
      <c r="F25">
        <f t="shared" si="2"/>
        <v>40.177907543006903</v>
      </c>
      <c r="G25">
        <f>G24*$A$2+(1-$A$2)*D24</f>
        <v>117.4580769578896</v>
      </c>
      <c r="H25">
        <f>(G25-D25)^2</f>
        <v>8033.3597877669163</v>
      </c>
    </row>
    <row r="26" spans="2:8" x14ac:dyDescent="0.25">
      <c r="B26">
        <v>1</v>
      </c>
      <c r="C26">
        <f t="shared" si="0"/>
        <v>25</v>
      </c>
      <c r="D26">
        <v>77.220096183621294</v>
      </c>
      <c r="E26">
        <f t="shared" si="1"/>
        <v>49.391031201580866</v>
      </c>
      <c r="F26">
        <f t="shared" si="2"/>
        <v>36.333818458583096</v>
      </c>
      <c r="G26">
        <f>G25*$A$2+(1-$A$2)*D25</f>
        <v>99.867053990334298</v>
      </c>
      <c r="H26">
        <f>(G26-D26)^2</f>
        <v>512.88469789903911</v>
      </c>
    </row>
    <row r="27" spans="2:8" x14ac:dyDescent="0.25">
      <c r="B27">
        <v>2</v>
      </c>
      <c r="C27">
        <f t="shared" si="0"/>
        <v>26</v>
      </c>
      <c r="D27">
        <v>161.19972624294661</v>
      </c>
      <c r="E27">
        <f t="shared" si="1"/>
        <v>83.979630059325316</v>
      </c>
      <c r="F27">
        <f t="shared" si="2"/>
        <v>35.46120865816377</v>
      </c>
      <c r="G27">
        <f>G26*$A$2+(1-$A$2)*D26</f>
        <v>95.422252623668669</v>
      </c>
      <c r="H27">
        <f>(G27-D27)^2</f>
        <v>4326.6760357348057</v>
      </c>
    </row>
    <row r="28" spans="2:8" x14ac:dyDescent="0.25">
      <c r="B28">
        <v>3</v>
      </c>
      <c r="C28">
        <f t="shared" si="0"/>
        <v>27</v>
      </c>
      <c r="D28">
        <v>198.93155126773476</v>
      </c>
      <c r="E28">
        <f t="shared" si="1"/>
        <v>37.731825024788151</v>
      </c>
      <c r="F28">
        <f t="shared" si="2"/>
        <v>-5.3932981881866979</v>
      </c>
      <c r="G28">
        <f>G27*$A$2+(1-$A$2)*D27</f>
        <v>108.33205742544718</v>
      </c>
      <c r="H28">
        <f>(G28-D28)^2</f>
        <v>8208.2682844787068</v>
      </c>
    </row>
    <row r="29" spans="2:8" x14ac:dyDescent="0.25">
      <c r="B29">
        <v>4</v>
      </c>
      <c r="C29">
        <f t="shared" si="0"/>
        <v>28</v>
      </c>
      <c r="D29">
        <v>178.77593960342227</v>
      </c>
      <c r="E29">
        <f t="shared" si="1"/>
        <v>-20.155611664312488</v>
      </c>
      <c r="F29">
        <f t="shared" si="2"/>
        <v>-31.640367438643668</v>
      </c>
      <c r="G29">
        <f>G28*$A$2+(1-$A$2)*D28</f>
        <v>126.11355185336751</v>
      </c>
      <c r="H29">
        <f>(G29-D29)^2</f>
        <v>2773.3270835371177</v>
      </c>
    </row>
    <row r="30" spans="2:8" x14ac:dyDescent="0.25">
      <c r="B30">
        <v>1</v>
      </c>
      <c r="C30">
        <f t="shared" si="0"/>
        <v>29</v>
      </c>
      <c r="D30">
        <v>71.235279219216451</v>
      </c>
      <c r="E30">
        <f t="shared" si="1"/>
        <v>-107.54066038420582</v>
      </c>
      <c r="F30">
        <f t="shared" si="2"/>
        <v>-59.512708079268499</v>
      </c>
      <c r="G30">
        <f>G29*$A$2+(1-$A$2)*D29</f>
        <v>136.44932653185145</v>
      </c>
      <c r="H30">
        <f>(G30-D30)^2</f>
        <v>4252.8719668945969</v>
      </c>
    </row>
    <row r="31" spans="2:8" x14ac:dyDescent="0.25">
      <c r="B31">
        <v>2</v>
      </c>
      <c r="C31">
        <f t="shared" si="0"/>
        <v>30</v>
      </c>
      <c r="D31">
        <v>110.53312551874836</v>
      </c>
      <c r="E31">
        <f t="shared" si="1"/>
        <v>39.297846299531912</v>
      </c>
      <c r="F31">
        <f t="shared" si="2"/>
        <v>43.662899302234621</v>
      </c>
      <c r="G31">
        <f>G30*$A$2+(1-$A$2)*D30</f>
        <v>123.65010249942642</v>
      </c>
      <c r="H31">
        <f>(G31-D31)^2</f>
        <v>172.05508511163814</v>
      </c>
    </row>
    <row r="32" spans="2:8" x14ac:dyDescent="0.25">
      <c r="B32">
        <v>3</v>
      </c>
      <c r="C32">
        <f t="shared" si="0"/>
        <v>31</v>
      </c>
      <c r="D32">
        <v>100.66873200607279</v>
      </c>
      <c r="E32">
        <f t="shared" si="1"/>
        <v>-9.8643935126755764</v>
      </c>
      <c r="F32">
        <f t="shared" si="2"/>
        <v>-2.7496702549864338</v>
      </c>
      <c r="G32">
        <f>G31*$A$2+(1-$A$2)*D31</f>
        <v>121.07570121746009</v>
      </c>
      <c r="H32">
        <f>(G32-D32)^2</f>
        <v>416.44439239450946</v>
      </c>
    </row>
    <row r="33" spans="2:8" x14ac:dyDescent="0.25">
      <c r="B33">
        <v>4</v>
      </c>
      <c r="C33">
        <f t="shared" si="0"/>
        <v>32</v>
      </c>
      <c r="D33">
        <v>23.453966650363345</v>
      </c>
      <c r="E33">
        <f t="shared" si="1"/>
        <v>-77.214765355709446</v>
      </c>
      <c r="F33">
        <f t="shared" si="2"/>
        <v>-35.050021049010155</v>
      </c>
      <c r="G33">
        <f>G32*$A$2+(1-$A$2)*D32</f>
        <v>117.07053083588279</v>
      </c>
      <c r="H33">
        <f>(G33-D33)^2</f>
        <v>8764.0610899014828</v>
      </c>
    </row>
    <row r="35" spans="2:8" x14ac:dyDescent="0.25">
      <c r="E35">
        <f>AVERAGE(E2:E33)</f>
        <v>0.36734349571998814</v>
      </c>
      <c r="H35">
        <f>SUM(H3:H33)</f>
        <v>256825.69663586654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03D-65C0-4F2F-9816-5C9C4E3EA427}">
  <dimension ref="B2:O34"/>
  <sheetViews>
    <sheetView workbookViewId="0">
      <selection activeCell="S14" sqref="S14"/>
    </sheetView>
  </sheetViews>
  <sheetFormatPr defaultRowHeight="15" x14ac:dyDescent="0.25"/>
  <cols>
    <col min="1" max="1" width="8.42578125" bestFit="1" customWidth="1"/>
    <col min="2" max="2" width="18.140625" bestFit="1" customWidth="1"/>
    <col min="3" max="3" width="8.42578125" bestFit="1" customWidth="1"/>
    <col min="4" max="4" width="15.85546875" bestFit="1" customWidth="1"/>
    <col min="5" max="5" width="12.5703125" bestFit="1" customWidth="1"/>
    <col min="6" max="6" width="15.85546875" bestFit="1" customWidth="1"/>
    <col min="7" max="7" width="5.42578125" bestFit="1" customWidth="1"/>
    <col min="8" max="8" width="15.85546875" bestFit="1" customWidth="1"/>
    <col min="9" max="9" width="8.42578125" bestFit="1" customWidth="1"/>
    <col min="10" max="10" width="15.85546875" bestFit="1" customWidth="1"/>
    <col min="11" max="11" width="12.5703125" bestFit="1" customWidth="1"/>
    <col min="12" max="12" width="15.85546875" bestFit="1" customWidth="1"/>
    <col min="13" max="13" width="5.42578125" bestFit="1" customWidth="1"/>
  </cols>
  <sheetData>
    <row r="2" spans="2:15" x14ac:dyDescent="0.25">
      <c r="B2" t="s">
        <v>76</v>
      </c>
      <c r="C2">
        <v>5</v>
      </c>
    </row>
    <row r="3" spans="2:15" x14ac:dyDescent="0.25">
      <c r="B3" t="s">
        <v>77</v>
      </c>
      <c r="C3">
        <v>0.8</v>
      </c>
    </row>
    <row r="5" spans="2:15" x14ac:dyDescent="0.25">
      <c r="B5" t="s">
        <v>78</v>
      </c>
    </row>
    <row r="7" spans="2:15" x14ac:dyDescent="0.25">
      <c r="O7" t="s">
        <v>84</v>
      </c>
    </row>
    <row r="8" spans="2:15" x14ac:dyDescent="0.25">
      <c r="O8" t="s">
        <v>85</v>
      </c>
    </row>
    <row r="15" spans="2:15" ht="15.75" thickBot="1" x14ac:dyDescent="0.3"/>
    <row r="16" spans="2:15" ht="15.75" thickBot="1" x14ac:dyDescent="0.3">
      <c r="C16" s="61" t="s">
        <v>78</v>
      </c>
      <c r="D16" s="62" t="s">
        <v>79</v>
      </c>
      <c r="E16" s="62" t="s">
        <v>80</v>
      </c>
      <c r="F16" s="62" t="s">
        <v>81</v>
      </c>
      <c r="G16" s="117" t="s">
        <v>82</v>
      </c>
      <c r="I16" s="108" t="s">
        <v>78</v>
      </c>
      <c r="J16" s="47" t="s">
        <v>79</v>
      </c>
      <c r="K16" s="47" t="s">
        <v>80</v>
      </c>
      <c r="L16" s="47" t="s">
        <v>81</v>
      </c>
      <c r="M16" s="109" t="s">
        <v>82</v>
      </c>
    </row>
    <row r="17" spans="2:13" x14ac:dyDescent="0.25">
      <c r="C17" s="118">
        <v>-100</v>
      </c>
      <c r="D17" s="63">
        <f>IF(C17&lt;0,-C17*$C$3,0)</f>
        <v>80</v>
      </c>
      <c r="E17" s="63">
        <f>D17</f>
        <v>80</v>
      </c>
      <c r="F17" s="63">
        <f>IF(C17&lt;0,0,C17-E17)</f>
        <v>0</v>
      </c>
      <c r="G17" s="119">
        <f>IF(C17&gt;0,C17-F17,0)</f>
        <v>0</v>
      </c>
      <c r="I17" s="110">
        <v>140</v>
      </c>
      <c r="J17" s="48">
        <f>IF(I17&lt;0,-I17*$C$3,0)</f>
        <v>0</v>
      </c>
      <c r="K17" s="48">
        <f>J17</f>
        <v>0</v>
      </c>
      <c r="L17" s="48">
        <f>IF(I17&lt;0,0,I17-K17)</f>
        <v>140</v>
      </c>
      <c r="M17" s="111">
        <f>IF(I17&gt;0,I17-L17,0)</f>
        <v>0</v>
      </c>
    </row>
    <row r="18" spans="2:13" x14ac:dyDescent="0.25">
      <c r="C18" s="120">
        <v>20</v>
      </c>
      <c r="D18" s="65">
        <f>IF(C18&lt;0,-C18*$C$3,0)</f>
        <v>0</v>
      </c>
      <c r="E18" s="65">
        <f>MAX(D18+E17-G17,0)</f>
        <v>80</v>
      </c>
      <c r="F18" s="65">
        <f>IF(C18&lt;0,0,MAX(C18-E18,0))</f>
        <v>0</v>
      </c>
      <c r="G18" s="121">
        <f t="shared" ref="G18:G23" si="0">IF(C18&gt;0,C18-F18,0)</f>
        <v>20</v>
      </c>
      <c r="I18" s="112">
        <v>-20</v>
      </c>
      <c r="J18" s="49">
        <f>IF(I18&lt;0,-I18*$C$3,0)</f>
        <v>16</v>
      </c>
      <c r="K18" s="49">
        <f>MAX(J18+K17-M17,0)</f>
        <v>16</v>
      </c>
      <c r="L18" s="49">
        <f>IF(I18&lt;0,0,MAX(I18-K18,0))</f>
        <v>0</v>
      </c>
      <c r="M18" s="113">
        <f t="shared" ref="M18:M23" si="1">IF(I18&gt;0,I18-L18,0)</f>
        <v>0</v>
      </c>
    </row>
    <row r="19" spans="2:13" x14ac:dyDescent="0.25">
      <c r="B19">
        <v>20</v>
      </c>
      <c r="C19" s="120">
        <v>20</v>
      </c>
      <c r="D19" s="65">
        <f t="shared" ref="D19:D23" si="2">IF(C19&lt;0,-C19*$C$3,0)</f>
        <v>0</v>
      </c>
      <c r="E19" s="65">
        <f t="shared" ref="E19:E23" si="3">MAX(D19+E18-G18,0)</f>
        <v>60</v>
      </c>
      <c r="F19" s="65">
        <f t="shared" ref="F19:F23" si="4">IF(C19&lt;0,0,MAX(C19-E19,0))</f>
        <v>0</v>
      </c>
      <c r="G19" s="121">
        <f t="shared" si="0"/>
        <v>20</v>
      </c>
      <c r="I19" s="112">
        <v>-20</v>
      </c>
      <c r="J19" s="49">
        <f t="shared" ref="J19:J23" si="5">IF(I19&lt;0,-I19*$C$3,0)</f>
        <v>16</v>
      </c>
      <c r="K19" s="49">
        <f t="shared" ref="K19:K23" si="6">MAX(J19+K18-M18,0)</f>
        <v>32</v>
      </c>
      <c r="L19" s="49">
        <f t="shared" ref="L19:L23" si="7">IF(I19&lt;0,0,MAX(I19-K19,0))</f>
        <v>0</v>
      </c>
      <c r="M19" s="113">
        <f t="shared" si="1"/>
        <v>0</v>
      </c>
    </row>
    <row r="20" spans="2:13" x14ac:dyDescent="0.25">
      <c r="C20" s="120">
        <v>20</v>
      </c>
      <c r="D20" s="65">
        <f t="shared" si="2"/>
        <v>0</v>
      </c>
      <c r="E20" s="65">
        <f t="shared" si="3"/>
        <v>40</v>
      </c>
      <c r="F20" s="65">
        <f t="shared" si="4"/>
        <v>0</v>
      </c>
      <c r="G20" s="121">
        <f t="shared" si="0"/>
        <v>20</v>
      </c>
      <c r="I20" s="112">
        <v>-20</v>
      </c>
      <c r="J20" s="49">
        <f t="shared" si="5"/>
        <v>16</v>
      </c>
      <c r="K20" s="49">
        <f t="shared" si="6"/>
        <v>48</v>
      </c>
      <c r="L20" s="49">
        <f t="shared" si="7"/>
        <v>0</v>
      </c>
      <c r="M20" s="113">
        <f t="shared" si="1"/>
        <v>0</v>
      </c>
    </row>
    <row r="21" spans="2:13" x14ac:dyDescent="0.25">
      <c r="C21" s="120">
        <v>100</v>
      </c>
      <c r="D21" s="65">
        <f t="shared" si="2"/>
        <v>0</v>
      </c>
      <c r="E21" s="65">
        <f t="shared" si="3"/>
        <v>20</v>
      </c>
      <c r="F21" s="65">
        <f t="shared" si="4"/>
        <v>80</v>
      </c>
      <c r="G21" s="121">
        <f t="shared" si="0"/>
        <v>20</v>
      </c>
      <c r="I21" s="112">
        <v>-20</v>
      </c>
      <c r="J21" s="49">
        <f t="shared" si="5"/>
        <v>16</v>
      </c>
      <c r="K21" s="49">
        <f t="shared" si="6"/>
        <v>64</v>
      </c>
      <c r="L21" s="49">
        <f t="shared" si="7"/>
        <v>0</v>
      </c>
      <c r="M21" s="113">
        <f t="shared" si="1"/>
        <v>0</v>
      </c>
    </row>
    <row r="22" spans="2:13" x14ac:dyDescent="0.25">
      <c r="C22" s="120">
        <v>100</v>
      </c>
      <c r="D22" s="65">
        <f t="shared" si="2"/>
        <v>0</v>
      </c>
      <c r="E22" s="65">
        <f t="shared" si="3"/>
        <v>0</v>
      </c>
      <c r="F22" s="65">
        <f t="shared" si="4"/>
        <v>100</v>
      </c>
      <c r="G22" s="121">
        <f t="shared" si="0"/>
        <v>0</v>
      </c>
      <c r="I22" s="112">
        <v>100</v>
      </c>
      <c r="J22" s="49">
        <f t="shared" si="5"/>
        <v>0</v>
      </c>
      <c r="K22" s="49">
        <f t="shared" si="6"/>
        <v>64</v>
      </c>
      <c r="L22" s="49">
        <f t="shared" si="7"/>
        <v>36</v>
      </c>
      <c r="M22" s="113">
        <f t="shared" si="1"/>
        <v>64</v>
      </c>
    </row>
    <row r="23" spans="2:13" ht="15.75" thickBot="1" x14ac:dyDescent="0.3">
      <c r="C23" s="122">
        <v>100</v>
      </c>
      <c r="D23" s="65">
        <f t="shared" si="2"/>
        <v>0</v>
      </c>
      <c r="E23" s="123">
        <f t="shared" si="3"/>
        <v>0</v>
      </c>
      <c r="F23" s="123">
        <f t="shared" si="4"/>
        <v>100</v>
      </c>
      <c r="G23" s="124">
        <f t="shared" si="0"/>
        <v>0</v>
      </c>
      <c r="I23" s="114">
        <v>100</v>
      </c>
      <c r="J23" s="115">
        <f t="shared" si="5"/>
        <v>0</v>
      </c>
      <c r="K23" s="115">
        <f t="shared" si="6"/>
        <v>0</v>
      </c>
      <c r="L23" s="115">
        <f t="shared" si="7"/>
        <v>100</v>
      </c>
      <c r="M23" s="116">
        <f t="shared" si="1"/>
        <v>0</v>
      </c>
    </row>
    <row r="24" spans="2:13" ht="15.75" thickBot="1" x14ac:dyDescent="0.3">
      <c r="C24">
        <f>SUM(C17:C23)</f>
        <v>260</v>
      </c>
      <c r="E24" s="88" t="s">
        <v>83</v>
      </c>
      <c r="F24" s="148">
        <f>SUM(F17:F23)*$C$3</f>
        <v>224</v>
      </c>
      <c r="I24">
        <f>SUM(I17:I23)</f>
        <v>260</v>
      </c>
      <c r="K24" s="88" t="s">
        <v>83</v>
      </c>
      <c r="L24" s="147">
        <f>SUM(L17:L23)*$C$3</f>
        <v>220.8</v>
      </c>
    </row>
    <row r="25" spans="2:13" ht="15.75" thickBot="1" x14ac:dyDescent="0.3"/>
    <row r="26" spans="2:13" ht="15.75" thickBot="1" x14ac:dyDescent="0.3">
      <c r="C26" s="125" t="s">
        <v>78</v>
      </c>
      <c r="D26" s="51" t="s">
        <v>79</v>
      </c>
      <c r="E26" s="51" t="s">
        <v>80</v>
      </c>
      <c r="F26" s="51" t="s">
        <v>81</v>
      </c>
      <c r="G26" s="126" t="s">
        <v>82</v>
      </c>
      <c r="I26" s="135" t="s">
        <v>78</v>
      </c>
      <c r="J26" s="136" t="s">
        <v>79</v>
      </c>
      <c r="K26" s="136" t="s">
        <v>80</v>
      </c>
      <c r="L26" s="136" t="s">
        <v>81</v>
      </c>
      <c r="M26" s="137" t="s">
        <v>82</v>
      </c>
    </row>
    <row r="27" spans="2:13" x14ac:dyDescent="0.25">
      <c r="C27" s="127">
        <v>-300</v>
      </c>
      <c r="D27" s="52">
        <f>IF(C27&lt;0,-C27*$C$3,0)</f>
        <v>240</v>
      </c>
      <c r="E27" s="52">
        <f>D27</f>
        <v>240</v>
      </c>
      <c r="F27" s="52">
        <f>IF(C27&lt;0,0,C27-E27)</f>
        <v>0</v>
      </c>
      <c r="G27" s="128">
        <f>IF(C27&gt;0,C27-F27,0)</f>
        <v>0</v>
      </c>
      <c r="I27" s="138">
        <v>300</v>
      </c>
      <c r="J27" s="139">
        <f>IF(I27&lt;0,-I27*$C$3,0)</f>
        <v>0</v>
      </c>
      <c r="K27" s="139">
        <f>J27</f>
        <v>0</v>
      </c>
      <c r="L27" s="139">
        <f>IF(I27&lt;0,0,I27-K27)</f>
        <v>300</v>
      </c>
      <c r="M27" s="140">
        <f>IF(I27&gt;0,I27-L27,0)</f>
        <v>0</v>
      </c>
    </row>
    <row r="28" spans="2:13" x14ac:dyDescent="0.25">
      <c r="C28" s="129">
        <v>50</v>
      </c>
      <c r="D28" s="130">
        <f>IF(C28&lt;0,-C28*$C$3,0)</f>
        <v>0</v>
      </c>
      <c r="E28" s="130">
        <f>MAX(D28+E27-G27,0)</f>
        <v>240</v>
      </c>
      <c r="F28" s="130">
        <f>IF(C28&lt;0,0,MAX(C28-E28,0))</f>
        <v>0</v>
      </c>
      <c r="G28" s="131">
        <f t="shared" ref="G28:G33" si="8">IF(C28&gt;0,C28-F28,0)</f>
        <v>50</v>
      </c>
      <c r="I28" s="141">
        <f>-$I$27/6</f>
        <v>-50</v>
      </c>
      <c r="J28" s="142">
        <f>IF(I28&lt;0,-I28*$C$3,0)</f>
        <v>40</v>
      </c>
      <c r="K28" s="142">
        <f>MAX(J28+K27-M27,0)</f>
        <v>40</v>
      </c>
      <c r="L28" s="142">
        <f>IF(I28&lt;0,0,MAX(I28-K28,0))</f>
        <v>0</v>
      </c>
      <c r="M28" s="143">
        <f t="shared" ref="M28:M33" si="9">IF(I28&gt;0,I28-L28,0)</f>
        <v>0</v>
      </c>
    </row>
    <row r="29" spans="2:13" x14ac:dyDescent="0.25">
      <c r="C29" s="129">
        <v>50</v>
      </c>
      <c r="D29" s="130">
        <f t="shared" ref="D29:D33" si="10">IF(C29&lt;0,-C29*$C$3,0)</f>
        <v>0</v>
      </c>
      <c r="E29" s="130">
        <f t="shared" ref="E29:E33" si="11">MAX(D29+E28-G28,0)</f>
        <v>190</v>
      </c>
      <c r="F29" s="130">
        <f t="shared" ref="F29:F33" si="12">IF(C29&lt;0,0,MAX(C29-E29,0))</f>
        <v>0</v>
      </c>
      <c r="G29" s="131">
        <f t="shared" si="8"/>
        <v>50</v>
      </c>
      <c r="I29" s="141">
        <f>-$I$27/6</f>
        <v>-50</v>
      </c>
      <c r="J29" s="142">
        <f t="shared" ref="J29:J33" si="13">IF(I29&lt;0,-I29*$C$3,0)</f>
        <v>40</v>
      </c>
      <c r="K29" s="142">
        <f t="shared" ref="K29:K33" si="14">MAX(J29+K28-M28,0)</f>
        <v>80</v>
      </c>
      <c r="L29" s="142">
        <f t="shared" ref="L29:L33" si="15">IF(I29&lt;0,0,MAX(I29-K29,0))</f>
        <v>0</v>
      </c>
      <c r="M29" s="143">
        <f t="shared" si="9"/>
        <v>0</v>
      </c>
    </row>
    <row r="30" spans="2:13" x14ac:dyDescent="0.25">
      <c r="B30">
        <v>0</v>
      </c>
      <c r="C30" s="129">
        <v>50</v>
      </c>
      <c r="D30" s="130">
        <f t="shared" si="10"/>
        <v>0</v>
      </c>
      <c r="E30" s="130">
        <f t="shared" si="11"/>
        <v>140</v>
      </c>
      <c r="F30" s="130">
        <f t="shared" si="12"/>
        <v>0</v>
      </c>
      <c r="G30" s="131">
        <f t="shared" si="8"/>
        <v>50</v>
      </c>
      <c r="I30" s="141">
        <f>-$I$27/6</f>
        <v>-50</v>
      </c>
      <c r="J30" s="142">
        <f t="shared" si="13"/>
        <v>40</v>
      </c>
      <c r="K30" s="142">
        <f t="shared" si="14"/>
        <v>120</v>
      </c>
      <c r="L30" s="142">
        <f t="shared" si="15"/>
        <v>0</v>
      </c>
      <c r="M30" s="143">
        <f t="shared" si="9"/>
        <v>0</v>
      </c>
    </row>
    <row r="31" spans="2:13" x14ac:dyDescent="0.25">
      <c r="C31" s="129">
        <v>50</v>
      </c>
      <c r="D31" s="130">
        <f t="shared" si="10"/>
        <v>0</v>
      </c>
      <c r="E31" s="130">
        <f t="shared" si="11"/>
        <v>90</v>
      </c>
      <c r="F31" s="130">
        <f t="shared" si="12"/>
        <v>0</v>
      </c>
      <c r="G31" s="131">
        <f t="shared" si="8"/>
        <v>50</v>
      </c>
      <c r="I31" s="141">
        <f>-$I$27/6</f>
        <v>-50</v>
      </c>
      <c r="J31" s="142">
        <f t="shared" si="13"/>
        <v>40</v>
      </c>
      <c r="K31" s="142">
        <f t="shared" si="14"/>
        <v>160</v>
      </c>
      <c r="L31" s="142">
        <f t="shared" si="15"/>
        <v>0</v>
      </c>
      <c r="M31" s="143">
        <f t="shared" si="9"/>
        <v>0</v>
      </c>
    </row>
    <row r="32" spans="2:13" x14ac:dyDescent="0.25">
      <c r="C32" s="129">
        <v>50</v>
      </c>
      <c r="D32" s="130">
        <f t="shared" si="10"/>
        <v>0</v>
      </c>
      <c r="E32" s="130">
        <f t="shared" si="11"/>
        <v>40</v>
      </c>
      <c r="F32" s="130">
        <f t="shared" si="12"/>
        <v>10</v>
      </c>
      <c r="G32" s="131">
        <f t="shared" si="8"/>
        <v>40</v>
      </c>
      <c r="I32" s="141">
        <f>-$I$27/6</f>
        <v>-50</v>
      </c>
      <c r="J32" s="142">
        <f t="shared" si="13"/>
        <v>40</v>
      </c>
      <c r="K32" s="142">
        <f t="shared" si="14"/>
        <v>200</v>
      </c>
      <c r="L32" s="142">
        <f t="shared" si="15"/>
        <v>0</v>
      </c>
      <c r="M32" s="143">
        <f t="shared" si="9"/>
        <v>0</v>
      </c>
    </row>
    <row r="33" spans="3:13" ht="15.75" thickBot="1" x14ac:dyDescent="0.3">
      <c r="C33" s="132">
        <v>50</v>
      </c>
      <c r="D33" s="133">
        <f t="shared" si="10"/>
        <v>0</v>
      </c>
      <c r="E33" s="133">
        <f t="shared" si="11"/>
        <v>0</v>
      </c>
      <c r="F33" s="133">
        <f t="shared" si="12"/>
        <v>50</v>
      </c>
      <c r="G33" s="134">
        <f t="shared" si="8"/>
        <v>0</v>
      </c>
      <c r="I33" s="144">
        <f>-$I$27/6</f>
        <v>-50</v>
      </c>
      <c r="J33" s="145">
        <f t="shared" si="13"/>
        <v>40</v>
      </c>
      <c r="K33" s="145">
        <f t="shared" si="14"/>
        <v>240</v>
      </c>
      <c r="L33" s="145">
        <f t="shared" si="15"/>
        <v>0</v>
      </c>
      <c r="M33" s="146">
        <f t="shared" si="9"/>
        <v>0</v>
      </c>
    </row>
    <row r="34" spans="3:13" ht="15.75" thickBot="1" x14ac:dyDescent="0.3">
      <c r="E34" s="99" t="s">
        <v>83</v>
      </c>
      <c r="F34" s="149">
        <f>SUM(F27:F33)*$C$3</f>
        <v>48</v>
      </c>
      <c r="K34" s="21" t="s">
        <v>83</v>
      </c>
      <c r="L34" s="150">
        <f>SUM(L27:L33)*$C$3</f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126F-55C5-43F3-87CF-DA03FE55B07C}">
  <dimension ref="D3:I13"/>
  <sheetViews>
    <sheetView workbookViewId="0">
      <selection activeCell="Q9" sqref="Q9"/>
    </sheetView>
  </sheetViews>
  <sheetFormatPr defaultRowHeight="15" x14ac:dyDescent="0.25"/>
  <cols>
    <col min="6" max="6" width="15.140625" bestFit="1" customWidth="1"/>
    <col min="7" max="7" width="5.5703125" bestFit="1" customWidth="1"/>
    <col min="8" max="8" width="3.85546875" bestFit="1" customWidth="1"/>
    <col min="9" max="9" width="10.5703125" bestFit="1" customWidth="1"/>
  </cols>
  <sheetData>
    <row r="3" spans="4:9" ht="15.75" thickBot="1" x14ac:dyDescent="0.3"/>
    <row r="4" spans="4:9" ht="15.75" thickBot="1" x14ac:dyDescent="0.3">
      <c r="D4" s="88" t="s">
        <v>35</v>
      </c>
      <c r="E4" s="21">
        <v>0.19857725498389281</v>
      </c>
      <c r="I4" s="21" t="s">
        <v>42</v>
      </c>
    </row>
    <row r="5" spans="4:9" ht="15.75" thickBot="1" x14ac:dyDescent="0.3">
      <c r="D5" s="88" t="s">
        <v>41</v>
      </c>
      <c r="E5" s="21" t="s">
        <v>50</v>
      </c>
      <c r="I5" s="106"/>
    </row>
    <row r="6" spans="4:9" ht="15.75" thickBot="1" x14ac:dyDescent="0.3">
      <c r="D6" s="89">
        <v>0</v>
      </c>
      <c r="E6" s="20">
        <f>100-400</f>
        <v>-300</v>
      </c>
      <c r="F6">
        <f>E6</f>
        <v>-300</v>
      </c>
      <c r="I6" s="21" t="s">
        <v>63</v>
      </c>
    </row>
    <row r="7" spans="4:9" ht="15.75" thickBot="1" x14ac:dyDescent="0.3">
      <c r="D7" s="90">
        <v>1</v>
      </c>
      <c r="E7" s="92">
        <v>100</v>
      </c>
      <c r="F7">
        <f>E7/((1+$E$4)^D7)</f>
        <v>83.432252351012494</v>
      </c>
      <c r="I7" s="105"/>
    </row>
    <row r="8" spans="4:9" ht="15.75" thickBot="1" x14ac:dyDescent="0.3">
      <c r="D8" s="90">
        <f>D7+1</f>
        <v>2</v>
      </c>
      <c r="E8" s="92">
        <v>100</v>
      </c>
      <c r="F8">
        <f t="shared" ref="F8:F11" si="0">E8/((1+$E$4)^D8)</f>
        <v>69.609407323630307</v>
      </c>
      <c r="I8" s="21" t="s">
        <v>64</v>
      </c>
    </row>
    <row r="9" spans="4:9" ht="15.75" thickBot="1" x14ac:dyDescent="0.3">
      <c r="D9" s="90">
        <f>D8+1</f>
        <v>3</v>
      </c>
      <c r="E9" s="92">
        <v>100</v>
      </c>
      <c r="F9">
        <f t="shared" si="0"/>
        <v>58.076696378295409</v>
      </c>
      <c r="I9" s="94"/>
    </row>
    <row r="10" spans="4:9" x14ac:dyDescent="0.25">
      <c r="D10" s="90">
        <f>D9+1</f>
        <v>4</v>
      </c>
      <c r="E10" s="92">
        <v>100</v>
      </c>
      <c r="F10">
        <f t="shared" si="0"/>
        <v>48.454695879470762</v>
      </c>
    </row>
    <row r="11" spans="4:9" ht="15.75" thickBot="1" x14ac:dyDescent="0.3">
      <c r="D11" s="91">
        <f>D10+1</f>
        <v>5</v>
      </c>
      <c r="E11" s="93">
        <v>100</v>
      </c>
      <c r="F11">
        <f t="shared" si="0"/>
        <v>40.426844142075701</v>
      </c>
    </row>
    <row r="13" spans="4:9" x14ac:dyDescent="0.25">
      <c r="F13" s="107">
        <f>SUM(F6:F11)</f>
        <v>-1.0392551532589778E-4</v>
      </c>
      <c r="G1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Revenue-FCFF</vt:lpstr>
      <vt:lpstr>NPV</vt:lpstr>
      <vt:lpstr>Value_of_waiting</vt:lpstr>
      <vt:lpstr>Gordon_Growth</vt:lpstr>
      <vt:lpstr>Exponential Smoothing</vt:lpstr>
      <vt:lpstr>Tax_loss_carry_forward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Dio</cp:lastModifiedBy>
  <dcterms:created xsi:type="dcterms:W3CDTF">2023-03-13T18:34:34Z</dcterms:created>
  <dcterms:modified xsi:type="dcterms:W3CDTF">2023-06-02T20:34:00Z</dcterms:modified>
</cp:coreProperties>
</file>