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2.xml" ContentType="application/vnd.openxmlformats-officedocument.spreadsheetml.pivotTab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usinnes Analytics\"/>
    </mc:Choice>
  </mc:AlternateContent>
  <xr:revisionPtr revIDLastSave="0" documentId="13_ncr:1_{ACA24537-F7D2-4280-A96D-07ED31C42B17}" xr6:coauthVersionLast="47" xr6:coauthVersionMax="47" xr10:uidLastSave="{00000000-0000-0000-0000-000000000000}"/>
  <bookViews>
    <workbookView xWindow="-108" yWindow="-108" windowWidth="23256" windowHeight="12456" xr2:uid="{42BC4F28-EE77-4FCA-AF41-A8DDC92B3A96}"/>
  </bookViews>
  <sheets>
    <sheet name="Product Backlog" sheetId="10" r:id="rId1"/>
    <sheet name="Estimated Budget" sheetId="11" r:id="rId2"/>
    <sheet name="Sprint 1" sheetId="1" r:id="rId3"/>
    <sheet name="Sprint 2" sheetId="3" r:id="rId4"/>
    <sheet name="Sprint 3" sheetId="4" r:id="rId5"/>
    <sheet name="Sprint 4" sheetId="5" r:id="rId6"/>
    <sheet name="Sprint 5" sheetId="6" r:id="rId7"/>
    <sheet name="Sprint 6" sheetId="7" r:id="rId8"/>
    <sheet name="Sprint 7" sheetId="8" r:id="rId9"/>
    <sheet name="Sprint 8" sheetId="9" r:id="rId10"/>
    <sheet name="C.sprint" sheetId="19" r:id="rId11"/>
    <sheet name="Dropdown_keys" sheetId="2" r:id="rId12"/>
  </sheets>
  <definedNames>
    <definedName name="_xlnm._FilterDatabase" localSheetId="10" hidden="1">'C.sprint'!$B$7:$K$7</definedName>
    <definedName name="_xlnm._FilterDatabase" localSheetId="0" hidden="1">'Product Backlog'!$B$3:$H$3</definedName>
    <definedName name="_xlchart.v1.0" hidden="1">'Sprint 2'!$E$8:$E$11</definedName>
    <definedName name="_xlchart.v1.1" hidden="1">'Sprint 2'!$G$7</definedName>
    <definedName name="_xlchart.v1.10" hidden="1">'Sprint 4'!$E$7</definedName>
    <definedName name="_xlchart.v1.11" hidden="1">'Sprint 4'!$E$8:$E$11</definedName>
    <definedName name="_xlchart.v1.12" hidden="1">'Sprint 4'!$I$7</definedName>
    <definedName name="_xlchart.v1.13" hidden="1">'Sprint 4'!$I$8:$I$11</definedName>
    <definedName name="_xlchart.v1.14" hidden="1">'Sprint 4'!$J$8:$J$11</definedName>
    <definedName name="_xlchart.v1.15" hidden="1">'Sprint 4'!$K$7</definedName>
    <definedName name="_xlchart.v1.16" hidden="1">'Sprint 4'!$K$8:$K$11</definedName>
    <definedName name="_xlchart.v1.2" hidden="1">'Sprint 2'!$G$8:$G$11</definedName>
    <definedName name="_xlchart.v1.3" hidden="1">'Sprint 2'!$I$7</definedName>
    <definedName name="_xlchart.v1.4" hidden="1">'Sprint 2'!$I$8:$I$11</definedName>
    <definedName name="_xlchart.v1.5" hidden="1">'Sprint 3'!$E$8:$E$11</definedName>
    <definedName name="_xlchart.v1.6" hidden="1">'Sprint 3'!$G$7</definedName>
    <definedName name="_xlchart.v1.7" hidden="1">'Sprint 3'!$G$8:$G$11</definedName>
    <definedName name="_xlchart.v1.8" hidden="1">'Sprint 3'!$I$7</definedName>
    <definedName name="_xlchart.v1.9" hidden="1">'Sprint 3'!$I$8:$I$11</definedName>
  </definedNames>
  <calcPr calcId="191029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19" l="1"/>
  <c r="K48" i="19"/>
  <c r="K41" i="19" a="1"/>
  <c r="K41" i="19" s="1"/>
  <c r="K42" i="19" a="1"/>
  <c r="K42" i="19" s="1"/>
  <c r="K43" i="19" a="1"/>
  <c r="K43" i="19" s="1"/>
  <c r="K44" i="19" a="1"/>
  <c r="K44" i="19" s="1"/>
  <c r="K45" i="19" a="1"/>
  <c r="K45" i="19" s="1"/>
  <c r="K46" i="19" a="1"/>
  <c r="K46" i="19" s="1"/>
  <c r="K47" i="19" a="1"/>
  <c r="K47" i="19" s="1"/>
  <c r="L40" i="19"/>
  <c r="K40" i="19"/>
  <c r="I5" i="6"/>
  <c r="J5" i="9"/>
  <c r="I5" i="9"/>
  <c r="J5" i="8"/>
  <c r="I5" i="8"/>
  <c r="J5" i="7"/>
  <c r="I5" i="7"/>
  <c r="J5" i="6"/>
  <c r="J5" i="5"/>
  <c r="I5" i="5"/>
  <c r="J5" i="4"/>
  <c r="I5" i="4"/>
  <c r="J5" i="3"/>
  <c r="I5" i="3"/>
  <c r="I5" i="1"/>
  <c r="J5" i="1"/>
  <c r="B34" i="19" a="1"/>
  <c r="B34" i="19" s="1"/>
  <c r="B31" i="19" a="1"/>
  <c r="B31" i="19" s="1"/>
  <c r="B28" i="19" a="1"/>
  <c r="B28" i="19" s="1"/>
  <c r="B25" i="19" a="1"/>
  <c r="B25" i="19" s="1"/>
  <c r="B21" i="19" a="1"/>
  <c r="B21" i="19" s="1"/>
  <c r="B17" i="19" a="1"/>
  <c r="B17" i="19" s="1"/>
  <c r="B13" i="19" a="1"/>
  <c r="B13" i="19" s="1"/>
  <c r="I8" i="8"/>
  <c r="I9" i="8"/>
  <c r="I10" i="8"/>
  <c r="I9" i="3"/>
  <c r="I10" i="3"/>
  <c r="I11" i="3"/>
  <c r="I9" i="5"/>
  <c r="I10" i="5"/>
  <c r="I11" i="5"/>
  <c r="I8" i="5"/>
  <c r="I10" i="4"/>
  <c r="I8" i="4"/>
  <c r="I9" i="4"/>
  <c r="I11" i="4"/>
  <c r="I8" i="3"/>
  <c r="F5" i="1"/>
  <c r="I8" i="1"/>
  <c r="I9" i="1"/>
  <c r="I10" i="1"/>
  <c r="I11" i="1"/>
  <c r="I12" i="1"/>
  <c r="E4" i="11"/>
  <c r="F4" i="11" s="1"/>
  <c r="F5" i="9"/>
  <c r="F5" i="8"/>
  <c r="F5" i="7"/>
  <c r="F5" i="6"/>
  <c r="F5" i="4"/>
  <c r="F5" i="3"/>
  <c r="I4" i="19" l="1"/>
  <c r="H4" i="19"/>
  <c r="B8" i="19" a="1"/>
  <c r="B8" i="19" s="1"/>
  <c r="E8" i="11"/>
  <c r="E11" i="11"/>
  <c r="F8" i="11"/>
  <c r="F11" i="11"/>
  <c r="F5" i="5"/>
  <c r="I9" i="7"/>
  <c r="I10" i="7"/>
  <c r="I8" i="7"/>
  <c r="I9" i="6"/>
  <c r="I10" i="6"/>
  <c r="I8" i="6"/>
  <c r="F4" i="19" l="1"/>
  <c r="E13" i="11"/>
  <c r="F1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<sst xmlns="http://schemas.openxmlformats.org/spreadsheetml/2006/main" count="489" uniqueCount="141">
  <si>
    <t>Project name</t>
  </si>
  <si>
    <t>Project manager</t>
  </si>
  <si>
    <t>Finish date</t>
  </si>
  <si>
    <t>Overall Progress</t>
  </si>
  <si>
    <t>Start Date</t>
  </si>
  <si>
    <t>Sprint Task</t>
  </si>
  <si>
    <t>Feature type</t>
  </si>
  <si>
    <t>Responsible Person</t>
  </si>
  <si>
    <t>Finish Date</t>
  </si>
  <si>
    <t>Duration</t>
  </si>
  <si>
    <t>Status</t>
  </si>
  <si>
    <t>Not Started</t>
  </si>
  <si>
    <t>In Progress</t>
  </si>
  <si>
    <t>Done</t>
  </si>
  <si>
    <t>Task ID</t>
  </si>
  <si>
    <t>Dipali Mendhe</t>
  </si>
  <si>
    <t>Develop architectural designs and blueprints.</t>
  </si>
  <si>
    <t>Obtain necessary permits and approvals.</t>
  </si>
  <si>
    <t>Monitor progress and quality.</t>
  </si>
  <si>
    <t>Lay foundations and construct basic infrastructure such as roads and utilities</t>
  </si>
  <si>
    <t>Civil Engineer</t>
  </si>
  <si>
    <t>Architect</t>
  </si>
  <si>
    <t>Project Manager</t>
  </si>
  <si>
    <t>Conduct site surveys and project evaluation.</t>
  </si>
  <si>
    <t>Contractor</t>
  </si>
  <si>
    <t>Plumber</t>
  </si>
  <si>
    <t>Priority</t>
  </si>
  <si>
    <t>Low</t>
  </si>
  <si>
    <t>Medium</t>
  </si>
  <si>
    <t>High</t>
  </si>
  <si>
    <t>Overdue</t>
  </si>
  <si>
    <t>Needs Review</t>
  </si>
  <si>
    <t>Approved</t>
  </si>
  <si>
    <t>On Hold</t>
  </si>
  <si>
    <t>User Story ID</t>
  </si>
  <si>
    <t>User Story</t>
  </si>
  <si>
    <t>Sprint</t>
  </si>
  <si>
    <t>Assigned to</t>
  </si>
  <si>
    <t>Product Backlog</t>
  </si>
  <si>
    <t>Clear and level the site.</t>
  </si>
  <si>
    <t>Ensure proper drainage and sewage systems.</t>
  </si>
  <si>
    <t>Install insulation and drywall.</t>
  </si>
  <si>
    <t>Complete flooring and ceiling works.</t>
  </si>
  <si>
    <t>Paint and finish walls.</t>
  </si>
  <si>
    <t>Install windows and doors.</t>
  </si>
  <si>
    <t>Set up outdoor lighting.</t>
  </si>
  <si>
    <t>Landscape gardens and green spaces.</t>
  </si>
  <si>
    <t>Install fencing and gates.</t>
  </si>
  <si>
    <t>Conduct thorough inspections at each stage.</t>
  </si>
  <si>
    <t>Supplier</t>
  </si>
  <si>
    <t>Electrician</t>
  </si>
  <si>
    <t>Interior Designer</t>
  </si>
  <si>
    <t>Painter</t>
  </si>
  <si>
    <t>Exterior Designer</t>
  </si>
  <si>
    <t>Landscaper</t>
  </si>
  <si>
    <t>Surveyor</t>
  </si>
  <si>
    <t>Feature Type</t>
  </si>
  <si>
    <t>Purchase</t>
  </si>
  <si>
    <t>Construction</t>
  </si>
  <si>
    <t>Design</t>
  </si>
  <si>
    <t>Testing</t>
  </si>
  <si>
    <t>Monitor any issues or defects identified.</t>
  </si>
  <si>
    <t>Construct parking areas.</t>
  </si>
  <si>
    <t>Create a design and sliding in the exterior.</t>
  </si>
  <si>
    <t>Pour concrete and suitable materials to create a stable base for the houses.</t>
  </si>
  <si>
    <t>Construct the frame of the houses like walls and roof.</t>
  </si>
  <si>
    <t>Install electrical systems.</t>
  </si>
  <si>
    <t>Start digging for building foundations.</t>
  </si>
  <si>
    <t>Install basic utilities such as water supply, sewage, electricity.</t>
  </si>
  <si>
    <t>Estimate the cost and purchase construction materials.</t>
  </si>
  <si>
    <t>Set up temporary site storage facilities.</t>
  </si>
  <si>
    <t>Estimated effort (In days)</t>
  </si>
  <si>
    <t>Surveys</t>
  </si>
  <si>
    <t>Approvals</t>
  </si>
  <si>
    <t>Installation</t>
  </si>
  <si>
    <t>Interior</t>
  </si>
  <si>
    <t>Painting</t>
  </si>
  <si>
    <t>Plumbing</t>
  </si>
  <si>
    <t>Exterior</t>
  </si>
  <si>
    <t>Hiring</t>
  </si>
  <si>
    <t>% Completed</t>
  </si>
  <si>
    <t>Sprint Plan 3</t>
  </si>
  <si>
    <t>Row Labels</t>
  </si>
  <si>
    <t>Grand Total</t>
  </si>
  <si>
    <t>Sum of Duration</t>
  </si>
  <si>
    <t>Sum of % Completed</t>
  </si>
  <si>
    <t>Story Points</t>
  </si>
  <si>
    <t>Estimated Budget</t>
  </si>
  <si>
    <t>Construction Cost</t>
  </si>
  <si>
    <t>Features</t>
  </si>
  <si>
    <t>Cost per unit</t>
  </si>
  <si>
    <t>For 5 units</t>
  </si>
  <si>
    <t>Per unit Area in sqft</t>
  </si>
  <si>
    <t>Architectural And Design Fees</t>
  </si>
  <si>
    <t>10% of Construction Cost</t>
  </si>
  <si>
    <t>Contingency Cost</t>
  </si>
  <si>
    <t>15% of Construction Cost</t>
  </si>
  <si>
    <t>Total Estimated Budget</t>
  </si>
  <si>
    <t>Rate per sqft</t>
  </si>
  <si>
    <t>Row House Development</t>
  </si>
  <si>
    <t xml:space="preserve"> Conduct site surveys and project evaluation.</t>
  </si>
  <si>
    <t xml:space="preserve"> Develop architectural designs and blueprints.</t>
  </si>
  <si>
    <t xml:space="preserve"> Obtain necessary permits and approvals.</t>
  </si>
  <si>
    <t xml:space="preserve"> Lay foundations and construct basic infrastructure such as roads and utilities</t>
  </si>
  <si>
    <t xml:space="preserve"> Monitor progress and quality.</t>
  </si>
  <si>
    <t xml:space="preserve"> Estimate the cost and purchase construction materials.</t>
  </si>
  <si>
    <t xml:space="preserve"> Set up temporary site storage facilities.</t>
  </si>
  <si>
    <t xml:space="preserve"> Clear and level the site.</t>
  </si>
  <si>
    <t xml:space="preserve"> Start digging for building foundations.</t>
  </si>
  <si>
    <t xml:space="preserve"> Install basic utilities such as water supply, sewage, electricity.</t>
  </si>
  <si>
    <t xml:space="preserve"> Pour concrete and suitable materials to create a stable base for the houses.</t>
  </si>
  <si>
    <t xml:space="preserve"> Construct the frame of the houses like walls and roof.</t>
  </si>
  <si>
    <t xml:space="preserve"> Install electrical systems.</t>
  </si>
  <si>
    <t xml:space="preserve"> Ensure proper drainage and sewage systems.</t>
  </si>
  <si>
    <t xml:space="preserve"> Install insulation and drywall.</t>
  </si>
  <si>
    <t xml:space="preserve"> Complete flooring and ceiling works.</t>
  </si>
  <si>
    <t xml:space="preserve"> Paint and finish walls.</t>
  </si>
  <si>
    <t xml:space="preserve"> Create a design and sliding in the exterior.</t>
  </si>
  <si>
    <t xml:space="preserve"> Install windows and doors.</t>
  </si>
  <si>
    <t xml:space="preserve"> Set up outdoor lighting.</t>
  </si>
  <si>
    <t xml:space="preserve"> Construct parking areas.</t>
  </si>
  <si>
    <t xml:space="preserve"> Landscape gardens and green spaces.</t>
  </si>
  <si>
    <t xml:space="preserve"> Install fencing and gates.</t>
  </si>
  <si>
    <t xml:space="preserve"> Conduct thorough inspections at each stage.</t>
  </si>
  <si>
    <t xml:space="preserve"> Check any issues or defects identified.</t>
  </si>
  <si>
    <t>Sprint 2</t>
  </si>
  <si>
    <t>Sprint 1</t>
  </si>
  <si>
    <t>Sprint 4</t>
  </si>
  <si>
    <t>Sprint 5</t>
  </si>
  <si>
    <t>Sprint 6</t>
  </si>
  <si>
    <t>Sprint 7</t>
  </si>
  <si>
    <t>Sprint 8</t>
  </si>
  <si>
    <t>Business Analyst</t>
  </si>
  <si>
    <t>Cummulative Sprint</t>
  </si>
  <si>
    <t>Sum of Story Points</t>
  </si>
  <si>
    <t>Total Story Points</t>
  </si>
  <si>
    <t>Total Duration</t>
  </si>
  <si>
    <t>Sprint name</t>
  </si>
  <si>
    <t>Sprint 3</t>
  </si>
  <si>
    <t>Story points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</si>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</sst>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5" formatCode="&quot;₹&quot;\ #,##0.00"/>
  </numFmts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0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2" fillId="4" borderId="0" xfId="0" applyFont="1" applyFill="1"/>
    <xf numFmtId="0" fontId="0" fillId="5" borderId="0" xfId="0" applyFill="1"/>
    <xf numFmtId="164" fontId="0" fillId="5" borderId="0" xfId="0" applyNumberFormat="1" applyFill="1"/>
    <xf numFmtId="164" fontId="0" fillId="2" borderId="2" xfId="0" applyNumberFormat="1" applyFill="1" applyBorder="1"/>
    <xf numFmtId="0" fontId="3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9" borderId="1" xfId="0" applyFill="1" applyBorder="1"/>
    <xf numFmtId="0" fontId="0" fillId="15" borderId="1" xfId="0" applyFill="1" applyBorder="1"/>
    <xf numFmtId="0" fontId="0" fillId="17" borderId="1" xfId="0" applyFill="1" applyBorder="1"/>
    <xf numFmtId="0" fontId="4" fillId="16" borderId="1" xfId="0" applyFont="1" applyFill="1" applyBorder="1"/>
    <xf numFmtId="0" fontId="4" fillId="7" borderId="1" xfId="0" applyFont="1" applyFill="1" applyBorder="1"/>
    <xf numFmtId="0" fontId="0" fillId="18" borderId="1" xfId="0" applyFill="1" applyBorder="1"/>
    <xf numFmtId="0" fontId="0" fillId="19" borderId="1" xfId="0" applyFill="1" applyBorder="1"/>
    <xf numFmtId="10" fontId="0" fillId="2" borderId="1" xfId="0" applyNumberFormat="1" applyFill="1" applyBorder="1"/>
    <xf numFmtId="0" fontId="0" fillId="19" borderId="1" xfId="0" applyFill="1" applyBorder="1" applyAlignment="1">
      <alignment horizontal="right" wrapText="1"/>
    </xf>
    <xf numFmtId="0" fontId="0" fillId="19" borderId="1" xfId="0" applyFill="1" applyBorder="1" applyAlignment="1">
      <alignment horizontal="right"/>
    </xf>
    <xf numFmtId="0" fontId="3" fillId="20" borderId="1" xfId="0" applyFont="1" applyFill="1" applyBorder="1"/>
    <xf numFmtId="0" fontId="0" fillId="21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2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0" fillId="23" borderId="1" xfId="0" applyFill="1" applyBorder="1"/>
    <xf numFmtId="0" fontId="0" fillId="20" borderId="1" xfId="0" applyFill="1" applyBorder="1"/>
    <xf numFmtId="0" fontId="0" fillId="7" borderId="1" xfId="0" applyFill="1" applyBorder="1"/>
    <xf numFmtId="9" fontId="0" fillId="0" borderId="0" xfId="0" applyNumberFormat="1"/>
    <xf numFmtId="9" fontId="0" fillId="5" borderId="0" xfId="0" applyNumberFormat="1" applyFill="1"/>
    <xf numFmtId="9" fontId="0" fillId="2" borderId="1" xfId="0" applyNumberFormat="1" applyFill="1" applyBorder="1"/>
    <xf numFmtId="9" fontId="0" fillId="2" borderId="1" xfId="1" applyFont="1" applyFill="1" applyBorder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7" fillId="3" borderId="20" xfId="0" applyFont="1" applyFill="1" applyBorder="1"/>
    <xf numFmtId="0" fontId="7" fillId="3" borderId="11" xfId="0" applyFont="1" applyFill="1" applyBorder="1"/>
    <xf numFmtId="0" fontId="8" fillId="24" borderId="1" xfId="0" applyFont="1" applyFill="1" applyBorder="1" applyAlignment="1">
      <alignment horizontal="left" vertical="top"/>
    </xf>
    <xf numFmtId="0" fontId="0" fillId="19" borderId="0" xfId="0" applyFill="1"/>
    <xf numFmtId="0" fontId="9" fillId="25" borderId="1" xfId="0" applyFont="1" applyFill="1" applyBorder="1" applyAlignment="1">
      <alignment vertical="center"/>
    </xf>
    <xf numFmtId="0" fontId="3" fillId="21" borderId="1" xfId="0" applyFont="1" applyFill="1" applyBorder="1"/>
    <xf numFmtId="0" fontId="0" fillId="26" borderId="1" xfId="0" applyFill="1" applyBorder="1"/>
    <xf numFmtId="0" fontId="3" fillId="23" borderId="1" xfId="0" applyFont="1" applyFill="1" applyBorder="1"/>
    <xf numFmtId="0" fontId="0" fillId="0" borderId="0" xfId="0" applyAlignment="1">
      <alignment horizontal="left"/>
    </xf>
    <xf numFmtId="0" fontId="2" fillId="4" borderId="30" xfId="0" applyFont="1" applyFill="1" applyBorder="1"/>
    <xf numFmtId="164" fontId="0" fillId="19" borderId="1" xfId="0" applyNumberFormat="1" applyFill="1" applyBorder="1"/>
    <xf numFmtId="9" fontId="0" fillId="19" borderId="1" xfId="1" applyFont="1" applyFill="1" applyBorder="1"/>
    <xf numFmtId="0" fontId="0" fillId="27" borderId="1" xfId="0" applyFill="1" applyBorder="1"/>
    <xf numFmtId="0" fontId="0" fillId="0" borderId="1" xfId="0" applyBorder="1"/>
    <xf numFmtId="0" fontId="0" fillId="18" borderId="15" xfId="0" applyFill="1" applyBorder="1"/>
    <xf numFmtId="0" fontId="0" fillId="0" borderId="16" xfId="0" applyBorder="1"/>
    <xf numFmtId="0" fontId="0" fillId="27" borderId="16" xfId="0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0" fillId="18" borderId="17" xfId="0" applyFill="1" applyBorder="1"/>
    <xf numFmtId="0" fontId="0" fillId="27" borderId="18" xfId="0" applyFill="1" applyBorder="1"/>
    <xf numFmtId="0" fontId="0" fillId="27" borderId="19" xfId="0" applyFill="1" applyBorder="1"/>
    <xf numFmtId="0" fontId="0" fillId="18" borderId="11" xfId="0" applyFill="1" applyBorder="1"/>
    <xf numFmtId="0" fontId="0" fillId="27" borderId="11" xfId="0" applyFill="1" applyBorder="1"/>
    <xf numFmtId="0" fontId="10" fillId="26" borderId="1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2" fillId="18" borderId="25" xfId="0" applyFont="1" applyFill="1" applyBorder="1" applyAlignment="1">
      <alignment horizontal="center" vertical="center"/>
    </xf>
    <xf numFmtId="0" fontId="2" fillId="18" borderId="15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165" fontId="0" fillId="19" borderId="10" xfId="0" applyNumberFormat="1" applyFill="1" applyBorder="1" applyAlignment="1">
      <alignment horizontal="center" vertical="center"/>
    </xf>
    <xf numFmtId="165" fontId="0" fillId="19" borderId="1" xfId="0" applyNumberFormat="1" applyFill="1" applyBorder="1" applyAlignment="1">
      <alignment horizontal="center" vertical="center"/>
    </xf>
    <xf numFmtId="165" fontId="0" fillId="19" borderId="9" xfId="0" applyNumberFormat="1" applyFill="1" applyBorder="1" applyAlignment="1">
      <alignment horizontal="center" vertical="center"/>
    </xf>
    <xf numFmtId="165" fontId="0" fillId="19" borderId="26" xfId="0" applyNumberFormat="1" applyFill="1" applyBorder="1" applyAlignment="1">
      <alignment horizontal="center" vertical="center"/>
    </xf>
    <xf numFmtId="165" fontId="0" fillId="19" borderId="16" xfId="0" applyNumberFormat="1" applyFill="1" applyBorder="1" applyAlignment="1">
      <alignment horizontal="center" vertical="center"/>
    </xf>
    <xf numFmtId="165" fontId="0" fillId="19" borderId="24" xfId="0" applyNumberForma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165" fontId="0" fillId="19" borderId="13" xfId="0" applyNumberFormat="1" applyFill="1" applyBorder="1" applyAlignment="1">
      <alignment horizontal="center" vertical="center"/>
    </xf>
    <xf numFmtId="165" fontId="0" fillId="19" borderId="18" xfId="0" applyNumberFormat="1" applyFill="1" applyBorder="1" applyAlignment="1">
      <alignment horizontal="center" vertical="center"/>
    </xf>
    <xf numFmtId="165" fontId="0" fillId="19" borderId="14" xfId="0" applyNumberFormat="1" applyFill="1" applyBorder="1" applyAlignment="1">
      <alignment horizontal="center" vertical="center"/>
    </xf>
    <xf numFmtId="165" fontId="0" fillId="19" borderId="19" xfId="0" applyNumberForma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11"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5" tint="0.59999389629810485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Table Style 1" pivot="0" count="1" xr9:uid="{FF1437CE-3FC1-484B-895B-C14895A3F068}">
      <tableStyleElement type="wholeTable" dxfId="1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Responsible Person vs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'Sprint 1'!$G$7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1'!$E$8:$E$12</c:f>
              <c:strCache>
                <c:ptCount val="5"/>
                <c:pt idx="0">
                  <c:v>Project Manager</c:v>
                </c:pt>
                <c:pt idx="1">
                  <c:v>Architect</c:v>
                </c:pt>
                <c:pt idx="2">
                  <c:v>Contractor</c:v>
                </c:pt>
                <c:pt idx="3">
                  <c:v>Civil Engineer</c:v>
                </c:pt>
                <c:pt idx="4">
                  <c:v>Project Manager</c:v>
                </c:pt>
              </c:strCache>
            </c:strRef>
          </c:cat>
          <c:val>
            <c:numRef>
              <c:f>'Sprint 1'!$G$8:$G$12</c:f>
              <c:numCache>
                <c:formatCode>[$-F800]dddd\,\ mmmm\ dd\,\ yyyy</c:formatCode>
                <c:ptCount val="5"/>
                <c:pt idx="0">
                  <c:v>45719</c:v>
                </c:pt>
                <c:pt idx="1">
                  <c:v>45720</c:v>
                </c:pt>
                <c:pt idx="2">
                  <c:v>45724</c:v>
                </c:pt>
                <c:pt idx="3">
                  <c:v>45725</c:v>
                </c:pt>
                <c:pt idx="4">
                  <c:v>45731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EB-4D51-90F8-5D588146619A}"/>
            </c:ext>
          </c:extLst>
        </c:ser>
        <c:ser>
          <c:idx val="1"/>
          <c:order val="1"/>
          <c:tx>
            <c:strRef>
              <c:f>'Sprint 1'!$I$7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'Sprint 1'!$E$8:$E$12</c:f>
              <c:strCache>
                <c:ptCount val="5"/>
                <c:pt idx="0">
                  <c:v>Project Manager</c:v>
                </c:pt>
                <c:pt idx="1">
                  <c:v>Architect</c:v>
                </c:pt>
                <c:pt idx="2">
                  <c:v>Contractor</c:v>
                </c:pt>
                <c:pt idx="3">
                  <c:v>Civil Engineer</c:v>
                </c:pt>
                <c:pt idx="4">
                  <c:v>Project Manager</c:v>
                </c:pt>
              </c:strCache>
            </c:strRef>
          </c:cat>
          <c:val>
            <c:numRef>
              <c:f>'Sprint 1'!$I$8:$I$12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EB-4D51-90F8-5D5881466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20864"/>
        <c:axId val="11920384"/>
      </c:barChart>
      <c:catAx>
        <c:axId val="1192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0384"/>
        <c:crosses val="autoZero"/>
        <c:auto val="1"/>
        <c:lblAlgn val="ctr"/>
        <c:lblOffset val="100"/>
        <c:noMultiLvlLbl val="0"/>
      </c:catAx>
      <c:valAx>
        <c:axId val="1192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Task 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'Sprint 1'!$K$7</c:f>
              <c:strCache>
                <c:ptCount val="1"/>
                <c:pt idx="0">
                  <c:v>% Completed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75-448C-88A4-513FCB96E2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75-448C-88A4-513FCB96E2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75-448C-88A4-513FCB96E2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75-448C-88A4-513FCB96E2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75-448C-88A4-513FCB96E2B2}"/>
              </c:ext>
            </c:extLst>
          </c:dPt>
          <c:cat>
            <c:strRef>
              <c:f>'Sprint 1'!$D$8:$D$12</c:f>
              <c:strCache>
                <c:ptCount val="5"/>
                <c:pt idx="0">
                  <c:v>Surveys</c:v>
                </c:pt>
                <c:pt idx="1">
                  <c:v>Design</c:v>
                </c:pt>
                <c:pt idx="2">
                  <c:v>Approvals</c:v>
                </c:pt>
                <c:pt idx="3">
                  <c:v>Construction</c:v>
                </c:pt>
                <c:pt idx="4">
                  <c:v>Testing</c:v>
                </c:pt>
              </c:strCache>
            </c:strRef>
          </c:cat>
          <c:val>
            <c:numRef>
              <c:f>'Sprint 1'!$K$8:$K$12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0.7</c:v>
                </c:pt>
                <c:pt idx="3">
                  <c:v>0.7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EA-4E7A-8B73-954570857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45-49F7-B17E-EE30DDEAFE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45-49F7-B17E-EE30DDEAFE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45-49F7-B17E-EE30DDEAFE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AE-4A44-81DC-868986D79ADD}"/>
              </c:ext>
            </c:extLst>
          </c:dPt>
          <c:cat>
            <c:strRef>
              <c:f>'Sprint 2'!$E$8:$E$11</c:f>
              <c:strCache>
                <c:ptCount val="4"/>
                <c:pt idx="0">
                  <c:v>Civil Engineer</c:v>
                </c:pt>
                <c:pt idx="1">
                  <c:v>Supplier</c:v>
                </c:pt>
                <c:pt idx="2">
                  <c:v>Project Manager</c:v>
                </c:pt>
                <c:pt idx="3">
                  <c:v>Civil Engineer</c:v>
                </c:pt>
              </c:strCache>
            </c:strRef>
          </c:cat>
          <c:val>
            <c:numRef>
              <c:f>'Sprint 2'!$K$8:$K$11</c:f>
              <c:numCache>
                <c:formatCode>0%</c:formatCode>
                <c:ptCount val="4"/>
                <c:pt idx="0">
                  <c:v>0.7</c:v>
                </c:pt>
                <c:pt idx="1">
                  <c:v>0.7</c:v>
                </c:pt>
                <c:pt idx="2">
                  <c:v>0.6</c:v>
                </c:pt>
                <c:pt idx="3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1F-415C-8083-D8BFA1A10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</a:t>
            </a:r>
            <a:r>
              <a:rPr lang="en-US" baseline="0"/>
              <a:t> Date vs Finish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3'!$G$7</c:f>
              <c:strCache>
                <c:ptCount val="1"/>
                <c:pt idx="0">
                  <c:v>Start 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3'!$E$8:$E$11</c:f>
              <c:strCache>
                <c:ptCount val="4"/>
                <c:pt idx="0">
                  <c:v>Contractor</c:v>
                </c:pt>
                <c:pt idx="1">
                  <c:v>Civil Engineer</c:v>
                </c:pt>
                <c:pt idx="2">
                  <c:v>Civil Engineer</c:v>
                </c:pt>
                <c:pt idx="3">
                  <c:v>Contractor</c:v>
                </c:pt>
              </c:strCache>
            </c:strRef>
          </c:cat>
          <c:val>
            <c:numRef>
              <c:f>'Sprint 3'!$G$8:$G$11</c:f>
              <c:numCache>
                <c:formatCode>[$-F800]dddd\,\ mmmm\ dd\,\ yyyy</c:formatCode>
                <c:ptCount val="4"/>
                <c:pt idx="0">
                  <c:v>45747</c:v>
                </c:pt>
                <c:pt idx="1">
                  <c:v>45754</c:v>
                </c:pt>
                <c:pt idx="2">
                  <c:v>45744</c:v>
                </c:pt>
                <c:pt idx="3">
                  <c:v>45759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E-4991-AD0A-0AEAF574227B}"/>
            </c:ext>
          </c:extLst>
        </c:ser>
        <c:ser>
          <c:idx val="1"/>
          <c:order val="1"/>
          <c:tx>
            <c:strRef>
              <c:f>'Sprint 3'!$H$7</c:f>
              <c:strCache>
                <c:ptCount val="1"/>
                <c:pt idx="0">
                  <c:v>Finish 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 3'!$E$8:$E$11</c:f>
              <c:strCache>
                <c:ptCount val="4"/>
                <c:pt idx="0">
                  <c:v>Contractor</c:v>
                </c:pt>
                <c:pt idx="1">
                  <c:v>Civil Engineer</c:v>
                </c:pt>
                <c:pt idx="2">
                  <c:v>Civil Engineer</c:v>
                </c:pt>
                <c:pt idx="3">
                  <c:v>Contractor</c:v>
                </c:pt>
              </c:strCache>
            </c:strRef>
          </c:cat>
          <c:val>
            <c:numRef>
              <c:f>'Sprint 3'!$H$8:$H$11</c:f>
              <c:numCache>
                <c:formatCode>[$-F800]dddd\,\ mmmm\ dd\,\ yyyy</c:formatCode>
                <c:ptCount val="4"/>
                <c:pt idx="0">
                  <c:v>45752</c:v>
                </c:pt>
                <c:pt idx="1">
                  <c:v>45758</c:v>
                </c:pt>
                <c:pt idx="2">
                  <c:v>45755</c:v>
                </c:pt>
                <c:pt idx="3">
                  <c:v>45767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E-4991-AD0A-0AEAF5742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340336"/>
        <c:axId val="1165340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'Sprint 3'!$I$7</c15:sqref>
                        </c15:formulaRef>
                      </c:ext>
                    </c:extLst>
                    <c:strCache>
                      <c:ptCount val="1"/>
                      <c:pt idx="0">
                        <c:v>Duration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'Sprint 3'!$E$8:$E$11</c15:sqref>
                        </c15:formulaRef>
                      </c:ext>
                    </c:extLst>
                    <c:strCache>
                      <c:ptCount val="4"/>
                      <c:pt idx="0">
                        <c:v>Contractor</c:v>
                      </c:pt>
                      <c:pt idx="1">
                        <c:v>Civil Engineer</c:v>
                      </c:pt>
                      <c:pt idx="2">
                        <c:v>Civil Engineer</c:v>
                      </c:pt>
                      <c:pt idx="3">
                        <c:v>Contractor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'Sprint 3'!$I$8:$I$11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</c:v>
                      </c:pt>
                      <c:pt idx="1">
                        <c:v>4</c:v>
                      </c:pt>
                      <c:pt idx="2">
                        <c:v>11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E6E-4991-AD0A-0AEAF574227B}"/>
                  </c:ext>
                </c:extLst>
              </c15:ser>
            </c15:filteredLineSeries>
          </c:ext>
        </c:extLst>
      </c:lineChart>
      <c:catAx>
        <c:axId val="116534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340816"/>
        <c:crosses val="autoZero"/>
        <c:auto val="1"/>
        <c:lblAlgn val="ctr"/>
        <c:lblOffset val="100"/>
        <c:noMultiLvlLbl val="0"/>
      </c:catAx>
      <c:valAx>
        <c:axId val="11653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340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Feature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5'!$G$7</c:f>
              <c:strCache>
                <c:ptCount val="1"/>
                <c:pt idx="0">
                  <c:v>Start Date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'Sprint 5'!$D$8:$D$10</c:f>
              <c:strCache>
                <c:ptCount val="3"/>
                <c:pt idx="0">
                  <c:v>Construction</c:v>
                </c:pt>
                <c:pt idx="1">
                  <c:v>Installation</c:v>
                </c:pt>
                <c:pt idx="2">
                  <c:v>Interior</c:v>
                </c:pt>
              </c:strCache>
            </c:strRef>
          </c:cat>
          <c:val>
            <c:numRef>
              <c:f>'Sprint 5'!$G$8:$G$10</c:f>
              <c:numCache>
                <c:formatCode>[$-F800]dddd\,\ mmmm\ dd\,\ yyyy</c:formatCode>
                <c:ptCount val="3"/>
                <c:pt idx="0">
                  <c:v>45776</c:v>
                </c:pt>
                <c:pt idx="1">
                  <c:v>45782</c:v>
                </c:pt>
                <c:pt idx="2">
                  <c:v>45790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A-452D-863A-72DC04D23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8069648"/>
        <c:axId val="1578067728"/>
      </c:barChart>
      <c:lineChart>
        <c:grouping val="standard"/>
        <c:varyColors val="0"/>
        <c:ser>
          <c:idx val="1"/>
          <c:order val="1"/>
          <c:tx>
            <c:strRef>
              <c:f>'Sprint 5'!$H$7</c:f>
              <c:strCache>
                <c:ptCount val="1"/>
                <c:pt idx="0">
                  <c:v>Finish Date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'Sprint 5'!$H$8:$H$10</c:f>
              <c:numCache>
                <c:formatCode>[$-F800]dddd\,\ mmmm\ dd\,\ yyyy</c:formatCode>
                <c:ptCount val="3"/>
                <c:pt idx="0">
                  <c:v>45781</c:v>
                </c:pt>
                <c:pt idx="1">
                  <c:v>45789</c:v>
                </c:pt>
                <c:pt idx="2">
                  <c:v>45800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BA-452D-863A-72DC04D23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69648"/>
        <c:axId val="15780677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'Sprint 5'!$I$7</c15:sqref>
                        </c15:formulaRef>
                      </c:ext>
                    </c:extLst>
                    <c:strCache>
                      <c:ptCount val="1"/>
                      <c:pt idx="0">
                        <c:v>Duration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'Sprint 5'!$I$8:$I$10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</c:v>
                      </c:pt>
                      <c:pt idx="1">
                        <c:v>7</c:v>
                      </c:pt>
                      <c:pt idx="2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7BA-452D-863A-72DC04D23E8D}"/>
                  </c:ext>
                </c:extLst>
              </c15:ser>
            </c15:filteredLineSeries>
          </c:ext>
        </c:extLst>
      </c:lineChart>
      <c:catAx>
        <c:axId val="15780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67728"/>
        <c:crosses val="autoZero"/>
        <c:auto val="1"/>
        <c:lblAlgn val="ctr"/>
        <c:lblOffset val="100"/>
        <c:noMultiLvlLbl val="0"/>
      </c:catAx>
      <c:valAx>
        <c:axId val="15780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6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</a:t>
            </a:r>
            <a:r>
              <a:rPr lang="en-US"/>
              <a:t>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5'!$I$7</c:f>
              <c:strCache>
                <c:ptCount val="1"/>
                <c:pt idx="0">
                  <c:v>Duration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'Sprint 5'!$J$8:$J$10</c:f>
              <c:strCache>
                <c:ptCount val="3"/>
                <c:pt idx="0">
                  <c:v>Not Started</c:v>
                </c:pt>
                <c:pt idx="1">
                  <c:v>In Progress</c:v>
                </c:pt>
                <c:pt idx="2">
                  <c:v>In Progress</c:v>
                </c:pt>
              </c:strCache>
            </c:strRef>
          </c:cat>
          <c:val>
            <c:numRef>
              <c:f>'Sprint 5'!$I$8:$I$10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E-45E3-AD88-0E3689CF3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862784"/>
        <c:axId val="15633265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'Sprint 5'!$G$7</c15:sqref>
                        </c15:formulaRef>
                      </c:ext>
                    </c:extLst>
                    <c:strCache>
                      <c:ptCount val="1"/>
                      <c:pt idx="0">
                        <c:v>Start Date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'Sprint 5'!$J$8:$J$10</c15:sqref>
                        </c15:formulaRef>
                      </c:ext>
                    </c:extLst>
                    <c:strCache>
                      <c:ptCount val="3"/>
                      <c:pt idx="0">
                        <c:v>Not Started</c:v>
                      </c:pt>
                      <c:pt idx="1">
                        <c:v>In Progress</c:v>
                      </c:pt>
                      <c:pt idx="2">
                        <c:v>In Progress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'Sprint 5'!$G$8:$G$10</c15:sqref>
                        </c15:formulaRef>
                      </c:ext>
                    </c:extLst>
                    <c:numCache>
                      <c:formatCode>[$-F800]dddd\,\ mmmm\ dd\,\ yyyy</c:formatCode>
                      <c:ptCount val="3"/>
                      <c:pt idx="0">
                        <c:v>45776</c:v>
                      </c:pt>
                      <c:pt idx="1">
                        <c:v>45782</c:v>
                      </c:pt>
                      <c:pt idx="2">
                        <c:v>45790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3DE-45E3-AD88-0E3689CF30FE}"/>
                  </c:ext>
                </c:extLst>
              </c15:ser>
            </c15:filteredLineSeries>
          </c:ext>
        </c:extLst>
      </c:lineChart>
      <c:catAx>
        <c:axId val="112586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26592"/>
        <c:crosses val="autoZero"/>
        <c:auto val="1"/>
        <c:lblAlgn val="ctr"/>
        <c:lblOffset val="100"/>
        <c:noMultiLvlLbl val="0"/>
      </c:catAx>
      <c:valAx>
        <c:axId val="15633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86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'Sprint 6'!$K$7</c:f>
              <c:strCache>
                <c:ptCount val="1"/>
                <c:pt idx="0">
                  <c:v>% Completed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AAB-48F9-813E-5BA42BA493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AAB-48F9-813E-5BA42BA493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AAB-48F9-813E-5BA42BA4939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'Sprint 6'!$J$8:$J$10</c:f>
              <c:strCache>
                <c:ptCount val="3"/>
                <c:pt idx="0">
                  <c:v>Needs Review</c:v>
                </c:pt>
                <c:pt idx="1">
                  <c:v>In Progress</c:v>
                </c:pt>
                <c:pt idx="2">
                  <c:v>On Hold</c:v>
                </c:pt>
              </c:strCache>
            </c:strRef>
          </c:cat>
          <c:val>
            <c:numRef>
              <c:f>'Sprint 6'!$K$8:$K$10</c:f>
              <c:numCache>
                <c:formatCode>0%</c:formatCode>
                <c:ptCount val="3"/>
                <c:pt idx="0">
                  <c:v>0.6</c:v>
                </c:pt>
                <c:pt idx="1">
                  <c:v>0.7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5-4E5F-A2FD-D948411C17D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Features</a:t>
            </a:r>
            <a:r>
              <a:rPr lang="en-IN" baseline="0"/>
              <a:t> Types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'Sprint 6'!$G$7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6'!$D$8:$D$10</c:f>
              <c:strCache>
                <c:ptCount val="3"/>
                <c:pt idx="0">
                  <c:v>Painting</c:v>
                </c:pt>
                <c:pt idx="1">
                  <c:v>Design</c:v>
                </c:pt>
                <c:pt idx="2">
                  <c:v>Installation</c:v>
                </c:pt>
              </c:strCache>
            </c:strRef>
          </c:cat>
          <c:val>
            <c:numRef>
              <c:f>'Sprint 6'!$G$8:$G$10</c:f>
              <c:numCache>
                <c:formatCode>[$-F800]dddd\,\ mmmm\ dd\,\ yyyy</c:formatCode>
                <c:ptCount val="3"/>
                <c:pt idx="0">
                  <c:v>45791</c:v>
                </c:pt>
                <c:pt idx="1">
                  <c:v>45794</c:v>
                </c:pt>
                <c:pt idx="2">
                  <c:v>45805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E-414E-9B2B-AEF38AB40C3B}"/>
            </c:ext>
          </c:extLst>
        </c:ser>
        <c:ser>
          <c:idx val="0"/>
          <c:order val="1"/>
          <c:tx>
            <c:strRef>
              <c:f>'Sprint 6'!$H$7</c:f>
              <c:strCache>
                <c:ptCount val="1"/>
                <c:pt idx="0">
                  <c:v>Finish Date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6'!$D$8:$D$10</c:f>
              <c:strCache>
                <c:ptCount val="3"/>
                <c:pt idx="0">
                  <c:v>Painting</c:v>
                </c:pt>
                <c:pt idx="1">
                  <c:v>Design</c:v>
                </c:pt>
                <c:pt idx="2">
                  <c:v>Installation</c:v>
                </c:pt>
              </c:strCache>
            </c:strRef>
          </c:cat>
          <c:val>
            <c:numRef>
              <c:f>'Sprint 6'!$H$8:$H$10</c:f>
              <c:numCache>
                <c:formatCode>[$-F800]dddd\,\ mmmm\ dd\,\ yyyy</c:formatCode>
                <c:ptCount val="3"/>
                <c:pt idx="0">
                  <c:v>45794</c:v>
                </c:pt>
                <c:pt idx="1">
                  <c:v>45799</c:v>
                </c:pt>
                <c:pt idx="2">
                  <c:v>45811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5-4155-996E-FEED3D0FD3E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52731776"/>
        <c:axId val="1552731296"/>
      </c:barChart>
      <c:catAx>
        <c:axId val="1552731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31296"/>
        <c:crosses val="autoZero"/>
        <c:auto val="1"/>
        <c:lblAlgn val="ctr"/>
        <c:lblOffset val="100"/>
        <c:noMultiLvlLbl val="0"/>
      </c:catAx>
      <c:valAx>
        <c:axId val="15527312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3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% Task 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'Sprint 7'!$K$7</c:f>
              <c:strCache>
                <c:ptCount val="1"/>
                <c:pt idx="0">
                  <c:v>% Completed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AB-4732-895B-554277390650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AB-4732-895B-554277390650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AB-4732-895B-5542773906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'Sprint 7'!$E$8:$E$10</c:f>
              <c:strCache>
                <c:ptCount val="3"/>
                <c:pt idx="0">
                  <c:v>Exterior Designer</c:v>
                </c:pt>
                <c:pt idx="1">
                  <c:v>Civil Engineer</c:v>
                </c:pt>
                <c:pt idx="2">
                  <c:v>Landscaper</c:v>
                </c:pt>
              </c:strCache>
            </c:strRef>
          </c:cat>
          <c:val>
            <c:numRef>
              <c:f>'Sprint 7'!$K$8:$K$10</c:f>
              <c:numCache>
                <c:formatCode>0%</c:formatCode>
                <c:ptCount val="3"/>
                <c:pt idx="0">
                  <c:v>0.6</c:v>
                </c:pt>
                <c:pt idx="1">
                  <c:v>0.1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C-4290-8D94-E55F711B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'Sprint 7'!$G$7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7'!$E$8:$E$10</c:f>
              <c:strCache>
                <c:ptCount val="3"/>
                <c:pt idx="0">
                  <c:v>Exterior Designer</c:v>
                </c:pt>
                <c:pt idx="1">
                  <c:v>Civil Engineer</c:v>
                </c:pt>
                <c:pt idx="2">
                  <c:v>Landscaper</c:v>
                </c:pt>
              </c:strCache>
            </c:strRef>
          </c:cat>
          <c:val>
            <c:numRef>
              <c:f>'Sprint 7'!$G$8:$G$10</c:f>
              <c:numCache>
                <c:formatCode>[$-F800]dddd\,\ mmmm\ dd\,\ yyyy</c:formatCode>
                <c:ptCount val="3"/>
                <c:pt idx="0">
                  <c:v>45805</c:v>
                </c:pt>
                <c:pt idx="1">
                  <c:v>45811</c:v>
                </c:pt>
                <c:pt idx="2">
                  <c:v>45819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BD-459B-93C7-902FBC84F0ED}"/>
            </c:ext>
          </c:extLst>
        </c:ser>
        <c:ser>
          <c:idx val="1"/>
          <c:order val="1"/>
          <c:tx>
            <c:strRef>
              <c:f>'Sprint 7'!$I$7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'Sprint 7'!$E$8:$E$10</c:f>
              <c:strCache>
                <c:ptCount val="3"/>
                <c:pt idx="0">
                  <c:v>Exterior Designer</c:v>
                </c:pt>
                <c:pt idx="1">
                  <c:v>Civil Engineer</c:v>
                </c:pt>
                <c:pt idx="2">
                  <c:v>Landscaper</c:v>
                </c:pt>
              </c:strCache>
            </c:strRef>
          </c:cat>
          <c:val>
            <c:numRef>
              <c:f>'Sprint 7'!$I$8:$I$10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BD-459B-93C7-902FBC84F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121792"/>
        <c:axId val="199123232"/>
      </c:barChart>
      <c:catAx>
        <c:axId val="199121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23232"/>
        <c:crosses val="autoZero"/>
        <c:auto val="1"/>
        <c:lblAlgn val="ctr"/>
        <c:lblOffset val="100"/>
        <c:noMultiLvlLbl val="0"/>
      </c:catAx>
      <c:valAx>
        <c:axId val="19912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2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Planning Row House.xlsx]Sprint 8!PivotTable1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8'!$D$14</c:f>
              <c:strCache>
                <c:ptCount val="1"/>
                <c:pt idx="0">
                  <c:v>Sum of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'Sprint 8'!$C$15:$C$21</c:f>
              <c:multiLvlStrCache>
                <c:ptCount val="3"/>
                <c:lvl>
                  <c:pt idx="0">
                    <c:v>Installation</c:v>
                  </c:pt>
                  <c:pt idx="1">
                    <c:v>Surveys</c:v>
                  </c:pt>
                  <c:pt idx="2">
                    <c:v>Testing</c:v>
                  </c:pt>
                </c:lvl>
                <c:lvl>
                  <c:pt idx="0">
                    <c:v>11 June 2025</c:v>
                  </c:pt>
                  <c:pt idx="1">
                    <c:v>15 June 2025</c:v>
                  </c:pt>
                  <c:pt idx="2">
                    <c:v>25 June 2025</c:v>
                  </c:pt>
                </c:lvl>
              </c:multiLvlStrCache>
            </c:multiLvlStrRef>
          </c:cat>
          <c:val>
            <c:numRef>
              <c:f>'Sprint 8'!$D$15:$D$21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4-4393-A030-7FC8DE7BCB4D}"/>
            </c:ext>
          </c:extLst>
        </c:ser>
        <c:ser>
          <c:idx val="1"/>
          <c:order val="1"/>
          <c:tx>
            <c:strRef>
              <c:f>'Sprint 8'!$E$14</c:f>
              <c:strCache>
                <c:ptCount val="1"/>
                <c:pt idx="0">
                  <c:v>Sum of % 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'Sprint 8'!$C$15:$C$21</c:f>
              <c:multiLvlStrCache>
                <c:ptCount val="3"/>
                <c:lvl>
                  <c:pt idx="0">
                    <c:v>Installation</c:v>
                  </c:pt>
                  <c:pt idx="1">
                    <c:v>Surveys</c:v>
                  </c:pt>
                  <c:pt idx="2">
                    <c:v>Testing</c:v>
                  </c:pt>
                </c:lvl>
                <c:lvl>
                  <c:pt idx="0">
                    <c:v>11 June 2025</c:v>
                  </c:pt>
                  <c:pt idx="1">
                    <c:v>15 June 2025</c:v>
                  </c:pt>
                  <c:pt idx="2">
                    <c:v>25 June 2025</c:v>
                  </c:pt>
                </c:lvl>
              </c:multiLvlStrCache>
            </c:multiLvlStrRef>
          </c:cat>
          <c:val>
            <c:numRef>
              <c:f>'Sprint 8'!$E$15:$E$21</c:f>
              <c:numCache>
                <c:formatCode>0%</c:formatCode>
                <c:ptCount val="3"/>
                <c:pt idx="0">
                  <c:v>0.7</c:v>
                </c:pt>
                <c:pt idx="1">
                  <c:v>0.1</c:v>
                </c:pt>
                <c:pt idx="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24-4393-A030-7FC8DE7BC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265888"/>
        <c:axId val="338266368"/>
      </c:barChart>
      <c:catAx>
        <c:axId val="33826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66368"/>
        <c:crosses val="autoZero"/>
        <c:auto val="1"/>
        <c:lblAlgn val="ctr"/>
        <c:lblOffset val="100"/>
        <c:noMultiLvlLbl val="0"/>
      </c:catAx>
      <c:valAx>
        <c:axId val="33826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Planning Row House.xlsx]C.sprint!PivotTable4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'C.sprint'!$G$39</c:f>
              <c:strCache>
                <c:ptCount val="1"/>
                <c:pt idx="0">
                  <c:v>Sum of Story 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'C.sprint'!$F$40:$F$52</c:f>
              <c:strCache>
                <c:ptCount val="12"/>
                <c:pt idx="0">
                  <c:v>Architect</c:v>
                </c:pt>
                <c:pt idx="1">
                  <c:v>Business Analyst</c:v>
                </c:pt>
                <c:pt idx="2">
                  <c:v>Civil Engineer</c:v>
                </c:pt>
                <c:pt idx="3">
                  <c:v>Contractor</c:v>
                </c:pt>
                <c:pt idx="4">
                  <c:v>Electrician</c:v>
                </c:pt>
                <c:pt idx="5">
                  <c:v>Exterior Designer</c:v>
                </c:pt>
                <c:pt idx="6">
                  <c:v>Interior Designer</c:v>
                </c:pt>
                <c:pt idx="7">
                  <c:v>Landscaper</c:v>
                </c:pt>
                <c:pt idx="8">
                  <c:v>Painter</c:v>
                </c:pt>
                <c:pt idx="9">
                  <c:v>Plumber</c:v>
                </c:pt>
                <c:pt idx="10">
                  <c:v>Project Manager</c:v>
                </c:pt>
                <c:pt idx="11">
                  <c:v>Supplier</c:v>
                </c:pt>
              </c:strCache>
            </c:strRef>
          </c:cat>
          <c:val>
            <c:numRef>
              <c:f>'C.sprint'!$G$40:$G$52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34</c:v>
                </c:pt>
                <c:pt idx="3">
                  <c:v>30</c:v>
                </c:pt>
                <c:pt idx="4">
                  <c:v>3</c:v>
                </c:pt>
                <c:pt idx="5">
                  <c:v>13</c:v>
                </c:pt>
                <c:pt idx="6">
                  <c:v>13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11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6-49F2-9235-83E75BDBF1BD}"/>
            </c:ext>
          </c:extLst>
        </c:ser>
        <c:ser>
          <c:idx val="1"/>
          <c:order val="1"/>
          <c:tx>
            <c:strRef>
              <c:f>'C.sprint'!$H$39</c:f>
              <c:strCache>
                <c:ptCount val="1"/>
                <c:pt idx="0">
                  <c:v>Sum of 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'C.sprint'!$F$40:$F$52</c:f>
              <c:strCache>
                <c:ptCount val="12"/>
                <c:pt idx="0">
                  <c:v>Architect</c:v>
                </c:pt>
                <c:pt idx="1">
                  <c:v>Business Analyst</c:v>
                </c:pt>
                <c:pt idx="2">
                  <c:v>Civil Engineer</c:v>
                </c:pt>
                <c:pt idx="3">
                  <c:v>Contractor</c:v>
                </c:pt>
                <c:pt idx="4">
                  <c:v>Electrician</c:v>
                </c:pt>
                <c:pt idx="5">
                  <c:v>Exterior Designer</c:v>
                </c:pt>
                <c:pt idx="6">
                  <c:v>Interior Designer</c:v>
                </c:pt>
                <c:pt idx="7">
                  <c:v>Landscaper</c:v>
                </c:pt>
                <c:pt idx="8">
                  <c:v>Painter</c:v>
                </c:pt>
                <c:pt idx="9">
                  <c:v>Plumber</c:v>
                </c:pt>
                <c:pt idx="10">
                  <c:v>Project Manager</c:v>
                </c:pt>
                <c:pt idx="11">
                  <c:v>Supplier</c:v>
                </c:pt>
              </c:strCache>
            </c:strRef>
          </c:cat>
          <c:val>
            <c:numRef>
              <c:f>'C.sprint'!$H$40:$H$52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45</c:v>
                </c:pt>
                <c:pt idx="3">
                  <c:v>29</c:v>
                </c:pt>
                <c:pt idx="4">
                  <c:v>3</c:v>
                </c:pt>
                <c:pt idx="5">
                  <c:v>15</c:v>
                </c:pt>
                <c:pt idx="6">
                  <c:v>17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9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86-49F2-9235-83E75BDBF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979083168"/>
        <c:axId val="1979088928"/>
      </c:barChart>
      <c:catAx>
        <c:axId val="197908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Responsible Person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088928"/>
        <c:crosses val="autoZero"/>
        <c:auto val="1"/>
        <c:lblAlgn val="ctr"/>
        <c:lblOffset val="100"/>
        <c:noMultiLvlLbl val="0"/>
      </c:catAx>
      <c:valAx>
        <c:axId val="19790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story points and Duration</a:t>
                </a:r>
              </a:p>
            </c:rich>
          </c:tx>
          <c:layout>
            <c:manualLayout>
              <c:xMode val="edge"/>
              <c:yMode val="edge"/>
              <c:x val="6.4922656877281788E-3"/>
              <c:y val="0.19642116647953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0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'C.sprint'!$K$39</c:f>
              <c:strCache>
                <c:ptCount val="1"/>
                <c:pt idx="0">
                  <c:v>Story points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53A-426F-81E0-FCE1A968D7D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3A-426F-81E0-FCE1A968D7D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53A-426F-81E0-FCE1A968D7D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53A-426F-81E0-FCE1A968D7D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53A-426F-81E0-FCE1A968D7D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53A-426F-81E0-FCE1A968D7D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53A-426F-81E0-FCE1A968D7D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53A-426F-81E0-FCE1A968D7D0}"/>
              </c:ext>
            </c:extLst>
          </c:dPt>
          <c:cat>
            <c:strRef>
              <c:f>'C.sprint'!$J$40:$J$47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'C.sprint'!$K$40:$K$47</c:f>
              <c:numCache>
                <c:formatCode>General</c:formatCode>
                <c:ptCount val="8"/>
                <c:pt idx="0">
                  <c:v>18</c:v>
                </c:pt>
                <c:pt idx="1">
                  <c:v>21</c:v>
                </c:pt>
                <c:pt idx="2">
                  <c:v>21</c:v>
                </c:pt>
                <c:pt idx="3">
                  <c:v>24</c:v>
                </c:pt>
                <c:pt idx="4">
                  <c:v>18</c:v>
                </c:pt>
                <c:pt idx="5">
                  <c:v>13</c:v>
                </c:pt>
                <c:pt idx="6">
                  <c:v>8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A-426F-81E0-FCE1A968D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'C.sprint'!$L$39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'C.sprint'!$J$40:$J$47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'C.sprint'!$L$40:$L$47</c:f>
              <c:numCache>
                <c:formatCode>General</c:formatCode>
                <c:ptCount val="8"/>
                <c:pt idx="0">
                  <c:v>20</c:v>
                </c:pt>
                <c:pt idx="1">
                  <c:v>19</c:v>
                </c:pt>
                <c:pt idx="2">
                  <c:v>28</c:v>
                </c:pt>
                <c:pt idx="3">
                  <c:v>26</c:v>
                </c:pt>
                <c:pt idx="4">
                  <c:v>22</c:v>
                </c:pt>
                <c:pt idx="5">
                  <c:v>14</c:v>
                </c:pt>
                <c:pt idx="6">
                  <c:v>9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7-4A05-960C-16F69E759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241471"/>
        <c:axId val="1434254431"/>
      </c:lineChart>
      <c:catAx>
        <c:axId val="143424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254431"/>
        <c:crosses val="autoZero"/>
        <c:auto val="1"/>
        <c:lblAlgn val="ctr"/>
        <c:lblOffset val="100"/>
        <c:noMultiLvlLbl val="0"/>
      </c:catAx>
      <c:valAx>
        <c:axId val="143425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24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Responsible Person vs Duration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Responsible Person vs Duration</a:t>
          </a:r>
        </a:p>
      </cx:txPr>
    </cx:title>
    <cx:plotArea>
      <cx:plotAreaRegion>
        <cx:series layoutId="waterfall" uniqueId="{3B35BC70-AE72-4B8B-B60F-FF3C352CE0CA}" formatIdx="0">
          <cx:tx>
            <cx:txData>
              <cx:f>_xlchart.v1.1</cx:f>
              <cx:v>Start Date</cx:v>
            </cx:txData>
          </cx:tx>
          <cx:dataLabels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B2B4F492-BE29-4DBE-883B-83A6BEFBC9F6}" formatIdx="1">
          <cx:tx>
            <cx:txData>
              <cx:f>_xlchart.v1.3</cx:f>
              <cx:v>Duration</cx:v>
            </cx:txData>
          </cx:tx>
          <cx:dataLabels>
            <cx:visibility seriesName="0" categoryName="0" value="1"/>
          </cx:dataLabels>
          <cx:dataId val="1"/>
          <cx:layoutPr>
            <cx:subtotals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  <cx:spPr>
    <a:ln>
      <a:solidFill>
        <a:sysClr val="windowText" lastClr="000000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_xlchart.v1.9</cx:f>
      </cx:numDim>
    </cx:data>
    <cx:data id="1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Responsible Person vs Duration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Responsible Person vs Duration</a:t>
          </a:r>
        </a:p>
      </cx:txPr>
    </cx:title>
    <cx:plotArea>
      <cx:plotAreaRegion>
        <cx:series layoutId="waterfall" uniqueId="{00000003-479E-4915-87CF-26CE5A5D7247}" formatIdx="0">
          <cx:tx>
            <cx:txData>
              <cx:f>_xlchart.v1.8</cx:f>
              <cx:v>Duration</cx:v>
            </cx:txData>
          </cx:tx>
          <cx:dataId val="0"/>
          <cx:layoutPr>
            <cx:subtotals/>
          </cx:layoutPr>
        </cx:series>
        <cx:series layoutId="waterfall" hidden="1" uniqueId="{00000004-479E-4915-87CF-26CE5A5D7247}" formatIdx="1">
          <cx:tx>
            <cx:txData>
              <cx:f>_xlchart.v1.6</cx:f>
              <cx:v>Start Date</cx:v>
            </cx:txData>
          </cx:tx>
          <cx:dataId val="1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spPr>
    <a:ln>
      <a:solidFill>
        <a:sysClr val="windowText" lastClr="000000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size">
        <cx:f>_xlchart.v1.16</cx:f>
      </cx:numDim>
    </cx:data>
  </cx:chartData>
  <cx:chart>
    <cx:title pos="t" align="ctr" overlay="0">
      <cx:tx>
        <cx:txData>
          <cx:v>Task Status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Task Status</a:t>
          </a:r>
        </a:p>
      </cx:txPr>
    </cx:title>
    <cx:plotArea>
      <cx:plotAreaRegion>
        <cx:series layoutId="sunburst" uniqueId="{71EE9513-0662-484A-91C1-3A30DF7AE620}">
          <cx:tx>
            <cx:txData>
              <cx:f>_xlchart.v1.15</cx:f>
              <cx:v>% Completed</cx:v>
            </cx:txData>
          </cx:tx>
          <cx:dataId val="0"/>
        </cx:series>
      </cx:plotAreaRegion>
    </cx:plotArea>
    <cx:legend pos="b" align="ctr" overlay="0"/>
  </cx:chart>
  <cx:spPr>
    <a:ln>
      <a:solidFill>
        <a:sysClr val="windowText" lastClr="000000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_xlchart.v1.11</cx:f>
      </cx:numDim>
    </cx:data>
  </cx:chartData>
  <cx:chart>
    <cx:title pos="t" align="ctr" overlay="0">
      <cx:tx>
        <cx:txData>
          <cx:v>Responsible Person vs Duration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Responsible Person vs Duration</a:t>
          </a:r>
        </a:p>
      </cx:txPr>
    </cx:title>
    <cx:plotArea>
      <cx:plotAreaRegion>
        <cx:plotSurface>
          <cx:spPr>
            <a:gradFill>
              <a:gsLst>
                <a:gs pos="0">
                  <a:schemeClr val="accent6">
                    <a:lumMod val="20000"/>
                    <a:lumOff val="80000"/>
                  </a:schemeClr>
                </a:gs>
                <a:gs pos="74000">
                  <a:schemeClr val="accent6">
                    <a:lumMod val="60000"/>
                    <a:lumOff val="40000"/>
                  </a:schemeClr>
                </a:gs>
                <a:gs pos="83000">
                  <a:schemeClr val="accent6">
                    <a:lumMod val="60000"/>
                    <a:lumOff val="40000"/>
                  </a:schemeClr>
                </a:gs>
                <a:gs pos="100000">
                  <a:schemeClr val="accent6">
                    <a:lumMod val="60000"/>
                    <a:lumOff val="40000"/>
                  </a:schemeClr>
                </a:gs>
              </a:gsLst>
              <a:lin ang="5400000" scaled="1"/>
            </a:gradFill>
            <a:ln>
              <a:solidFill>
                <a:schemeClr val="accent6">
                  <a:lumMod val="75000"/>
                </a:schemeClr>
              </a:solidFill>
            </a:ln>
          </cx:spPr>
        </cx:plotSurface>
        <cx:series layoutId="waterfall" uniqueId="{5FD4378E-3153-43A3-9257-823C55A8826A}" formatIdx="0">
          <cx:tx>
            <cx:txData>
              <cx:f>_xlchart.v1.12</cx:f>
              <cx:v>Duration</cx:v>
            </cx:txData>
          </cx:tx>
          <cx:spPr>
            <a:ln>
              <a:gradFill>
                <a:gsLst>
                  <a:gs pos="0">
                    <a:schemeClr val="accent1">
                      <a:lumMod val="20000"/>
                      <a:lumOff val="80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  <cx:dataLabels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00000002-7F24-4C92-AED4-6FAC87145EF2}" formatIdx="2">
          <cx:tx>
            <cx:txData>
              <cx:f>_xlchart.v1.10</cx:f>
              <cx:v>Responsible Person</cx:v>
            </cx:txData>
          </cx:tx>
          <cx:dataId val="1"/>
          <cx:layoutPr>
            <cx:subtotals/>
          </cx:layoutPr>
        </cx:series>
      </cx:plotAreaRegion>
      <cx:axis id="0">
        <cx:catScaling gapWidth="1.82000005"/>
        <cx:tickLabels/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</cx:axis>
    </cx:plotArea>
    <cx:legend pos="t" align="ctr" overlay="0"/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591820</xdr:colOff>
      <xdr:row>12</xdr:row>
      <xdr:rowOff>48683</xdr:rowOff>
    </xdr:from>
    <xdr:to>
      <xdr:col>5</xdr:col>
      <xdr:colOff>921488</xdr:colOff>
      <xdr:row>29</xdr:row>
      <xdr:rowOff>22013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4B551E-0E2F-C2C9-67BC-5C876A556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34298</xdr:colOff>
      <xdr:row>12</xdr:row>
      <xdr:rowOff>124284</xdr:rowOff>
    </xdr:from>
    <xdr:to>
      <xdr:col>11</xdr:col>
      <xdr:colOff>7974</xdr:colOff>
      <xdr:row>29</xdr:row>
      <xdr:rowOff>43306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512ECC-D673-FE04-6163-EF2B186A2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944880</xdr:colOff>
      <xdr:row>11</xdr:row>
      <xdr:rowOff>80010</xdr:rowOff>
    </xdr:from>
    <xdr:to>
      <xdr:col>10</xdr:col>
      <xdr:colOff>0</xdr:colOff>
      <xdr:row>27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B442E9-3A57-9C89-9845-E6BF4921E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68580</xdr:colOff>
      <xdr:row>11</xdr:row>
      <xdr:rowOff>49530</xdr:rowOff>
    </xdr:from>
    <xdr:to>
      <xdr:col>4</xdr:col>
      <xdr:colOff>723900</xdr:colOff>
      <xdr:row>28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6A373E-C8B7-04F9-F3AA-BE9CD12829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" y="2061210"/>
              <a:ext cx="5760720" cy="3059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11</xdr:row>
      <xdr:rowOff>171450</xdr:rowOff>
    </xdr:from>
    <xdr:to>
      <xdr:col>4</xdr:col>
      <xdr:colOff>144780</xdr:colOff>
      <xdr:row>29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010AD44-1F4D-6A68-DDFA-BFEC540259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280" y="2183130"/>
              <a:ext cx="5478780" cy="3150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373380</xdr:colOff>
      <xdr:row>11</xdr:row>
      <xdr:rowOff>148590</xdr:rowOff>
    </xdr:from>
    <xdr:to>
      <xdr:col>10</xdr:col>
      <xdr:colOff>76200</xdr:colOff>
      <xdr:row>28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B094C3-CAE8-E1AB-3088-2376E3010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179070</xdr:rowOff>
    </xdr:from>
    <xdr:to>
      <xdr:col>2</xdr:col>
      <xdr:colOff>4564380</xdr:colOff>
      <xdr:row>28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528E6C6-5910-FD69-7F24-00EFAD5B58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20" y="2190750"/>
              <a:ext cx="5158740" cy="3059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289560</xdr:colOff>
      <xdr:row>12</xdr:row>
      <xdr:rowOff>3810</xdr:rowOff>
    </xdr:from>
    <xdr:to>
      <xdr:col>10</xdr:col>
      <xdr:colOff>891540</xdr:colOff>
      <xdr:row>28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5A67CA4-F4CD-DD0D-3D87-D2304522DF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6020" y="2198370"/>
              <a:ext cx="7292340" cy="3021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10</xdr:row>
      <xdr:rowOff>87630</xdr:rowOff>
    </xdr:from>
    <xdr:to>
      <xdr:col>10</xdr:col>
      <xdr:colOff>777240</xdr:colOff>
      <xdr:row>27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752127-4932-72D4-1B2E-29844A927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762000</xdr:colOff>
      <xdr:row>10</xdr:row>
      <xdr:rowOff>118110</xdr:rowOff>
    </xdr:from>
    <xdr:to>
      <xdr:col>3</xdr:col>
      <xdr:colOff>784860</xdr:colOff>
      <xdr:row>27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54C2F2-C159-48E0-C39C-22EDF8FB7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10</xdr:row>
      <xdr:rowOff>80010</xdr:rowOff>
    </xdr:from>
    <xdr:to>
      <xdr:col>10</xdr:col>
      <xdr:colOff>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FF92EA-973E-9C6B-172C-13229EA6D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144780</xdr:colOff>
      <xdr:row>10</xdr:row>
      <xdr:rowOff>125730</xdr:rowOff>
    </xdr:from>
    <xdr:to>
      <xdr:col>6</xdr:col>
      <xdr:colOff>15240</xdr:colOff>
      <xdr:row>26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72E2C-FECE-6F8C-0204-8050073B5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10</xdr:row>
      <xdr:rowOff>156210</xdr:rowOff>
    </xdr:from>
    <xdr:to>
      <xdr:col>3</xdr:col>
      <xdr:colOff>381000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242C2-9DA8-09C9-6A0E-17ADBAED6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601980</xdr:colOff>
      <xdr:row>10</xdr:row>
      <xdr:rowOff>171450</xdr:rowOff>
    </xdr:from>
    <xdr:to>
      <xdr:col>10</xdr:col>
      <xdr:colOff>601980</xdr:colOff>
      <xdr:row>27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15E7B7-E058-7BE5-CAF8-5D4948509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10</xdr:row>
      <xdr:rowOff>110490</xdr:rowOff>
    </xdr:from>
    <xdr:to>
      <xdr:col>10</xdr:col>
      <xdr:colOff>693420</xdr:colOff>
      <xdr:row>25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26649-9806-BA30-7010-DDDA4F7AD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160793</xdr:colOff>
      <xdr:row>37</xdr:row>
      <xdr:rowOff>45222</xdr:rowOff>
    </xdr:from>
    <xdr:to>
      <xdr:col>4</xdr:col>
      <xdr:colOff>1093304</xdr:colOff>
      <xdr:row>59</xdr:row>
      <xdr:rowOff>152537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DBF7B1-E1C0-BE9C-5A08-65E3DDA8F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57399</xdr:colOff>
      <xdr:row>53</xdr:row>
      <xdr:rowOff>91489</xdr:rowOff>
    </xdr:from>
    <xdr:to>
      <xdr:col>14</xdr:col>
      <xdr:colOff>325023</xdr:colOff>
      <xdr:row>68</xdr:row>
      <xdr:rowOff>118159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E7BAF3-53EE-4302-DC33-0EC95B83F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1332424</xdr:colOff>
      <xdr:row>53</xdr:row>
      <xdr:rowOff>24075</xdr:rowOff>
    </xdr:from>
    <xdr:to>
      <xdr:col>8</xdr:col>
      <xdr:colOff>1093953</xdr:colOff>
      <xdr:row>72</xdr:row>
      <xdr:rowOff>183715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9007DE-14A1-6BBA-B557-BFB72C52F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al" refreshedDate="45692.719921064818" createdVersion="8" refreshedVersion="8" minRefreshableVersion="3" recordCount="3" xr:uid="{952A0AAC-CB23-40F9-A270-773CB368A998}">
  <cacheSource type="worksheet">
    <worksheetSource name="Table19"/>
  </cacheSource>
  <cacheFields count="10">
    <cacheField name="Task ID" numFmtId="0">
      <sharedItems containsSemiMixedTypes="0" containsString="0" containsNumber="1" containsInteger="1" minValue="25" maxValue="27"/>
    </cacheField>
    <cacheField name="Sprint Task" numFmtId="0">
      <sharedItems/>
    </cacheField>
    <cacheField name="Feature type" numFmtId="0">
      <sharedItems count="3">
        <s v="Installation"/>
        <s v="Surveys"/>
        <s v="Testing"/>
      </sharedItems>
    </cacheField>
    <cacheField name="Responsible Person" numFmtId="0">
      <sharedItems count="2">
        <s v="Contractor"/>
        <s v="Surveyor"/>
      </sharedItems>
    </cacheField>
    <cacheField name="Start Date" numFmtId="164">
      <sharedItems containsSemiMixedTypes="0" containsNonDate="0" containsDate="1" containsString="0" minDate="2025-06-11T00:00:00" maxDate="2025-06-26T00:00:00" count="3">
        <d v="2025-06-11T00:00:00"/>
        <d v="2025-06-15T00:00:00"/>
        <d v="2025-06-25T00:00:00"/>
      </sharedItems>
    </cacheField>
    <cacheField name="Finish Date" numFmtId="164">
      <sharedItems containsSemiMixedTypes="0" containsNonDate="0" containsDate="1" containsString="0" minDate="2025-06-13T00:00:00" maxDate="2025-06-28T00:00:00" count="3">
        <d v="2025-06-13T00:00:00"/>
        <d v="2025-06-17T00:00:00"/>
        <d v="2025-06-27T00:00:00"/>
      </sharedItems>
    </cacheField>
    <cacheField name="Duration" numFmtId="0">
      <sharedItems containsSemiMixedTypes="0" containsString="0" containsNumber="1" containsInteger="1" minValue="2" maxValue="2"/>
    </cacheField>
    <cacheField name="Status" numFmtId="0">
      <sharedItems/>
    </cacheField>
    <cacheField name="Priority" numFmtId="0">
      <sharedItems count="2">
        <s v="Medium"/>
        <s v="High"/>
      </sharedItems>
    </cacheField>
    <cacheField name="% Completed" numFmtId="9">
      <sharedItems containsSemiMixedTypes="0" containsString="0" containsNumber="1" minValue="0.1" maxValue="0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al" refreshedDate="45700.642068055553" createdVersion="8" refreshedVersion="8" minRefreshableVersion="3" recordCount="29" xr:uid="{137FE55A-7568-4FC8-B7F7-28CAA6C5ADA5}">
  <cacheSource type="worksheet">
    <worksheetSource ref="B7:K36" sheet="C.sprint"/>
  </cacheSource>
  <cacheFields count="14">
    <cacheField name="Task ID" numFmtId="0">
      <sharedItems containsSemiMixedTypes="0" containsString="0" containsNumber="1" containsInteger="1" minValue="1" maxValue="26"/>
    </cacheField>
    <cacheField name="Sprint Task" numFmtId="0">
      <sharedItems/>
    </cacheField>
    <cacheField name="Feature type" numFmtId="0">
      <sharedItems count="10">
        <s v="Surveys"/>
        <s v="Design"/>
        <s v="Approvals"/>
        <s v="Construction"/>
        <s v="Testing"/>
        <s v="Purchase"/>
        <s v="Installation"/>
        <s v="Interior"/>
        <s v="Painting"/>
        <s v="Exterior"/>
      </sharedItems>
    </cacheField>
    <cacheField name="Responsible Person" numFmtId="0">
      <sharedItems count="12">
        <s v="Project Manager"/>
        <s v="Architect"/>
        <s v="Contractor"/>
        <s v="Civil Engineer"/>
        <s v="Supplier"/>
        <s v="Electrician"/>
        <s v="Plumber"/>
        <s v="Interior Designer"/>
        <s v="Painter"/>
        <s v="Exterior Designer"/>
        <s v="Landscaper"/>
        <s v="Business Analyst"/>
      </sharedItems>
    </cacheField>
    <cacheField name="Story Points" numFmtId="0">
      <sharedItems containsSemiMixedTypes="0" containsString="0" containsNumber="1" containsInteger="1" minValue="1" maxValue="8"/>
    </cacheField>
    <cacheField name="Start Date" numFmtId="164">
      <sharedItems containsSemiMixedTypes="0" containsNonDate="0" containsDate="1" containsString="0" minDate="2025-03-03T00:00:00" maxDate="2025-06-26T00:00:00" count="25">
        <d v="2025-03-03T00:00:00"/>
        <d v="2025-03-04T00:00:00"/>
        <d v="2025-03-08T00:00:00"/>
        <d v="2025-03-09T00:00:00"/>
        <d v="2025-03-15T00:00:00"/>
        <d v="2025-03-17T00:00:00"/>
        <d v="2025-03-20T00:00:00"/>
        <d v="2025-03-28T00:00:00"/>
        <d v="2025-03-31T00:00:00"/>
        <d v="2025-04-07T00:00:00"/>
        <d v="2025-04-12T00:00:00"/>
        <d v="2025-04-14T00:00:00"/>
        <d v="2025-04-15T00:00:00"/>
        <d v="2025-04-22T00:00:00"/>
        <d v="2025-04-28T00:00:00"/>
        <d v="2025-04-29T00:00:00"/>
        <d v="2025-05-05T00:00:00"/>
        <d v="2025-05-13T00:00:00"/>
        <d v="2025-05-14T00:00:00"/>
        <d v="2025-05-17T00:00:00"/>
        <d v="2025-05-28T00:00:00"/>
        <d v="2025-06-03T00:00:00"/>
        <d v="2025-06-11T00:00:00"/>
        <d v="2025-06-15T00:00:00"/>
        <d v="2025-06-25T00:00:00"/>
      </sharedItems>
      <fieldGroup par="11"/>
    </cacheField>
    <cacheField name="Finish Date" numFmtId="164">
      <sharedItems containsSemiMixedTypes="0" containsNonDate="0" containsDate="1" containsString="0" minDate="2025-03-05T00:00:00" maxDate="2025-06-29T00:00:00" count="26">
        <d v="2025-03-05T00:00:00"/>
        <d v="2025-03-09T00:00:00"/>
        <d v="2025-03-10T00:00:00"/>
        <d v="2025-03-15T00:00:00"/>
        <d v="2025-03-20T00:00:00"/>
        <d v="2025-03-23T00:00:00"/>
        <d v="2025-03-22T00:00:00"/>
        <d v="2025-04-05T00:00:00"/>
        <d v="2025-04-11T00:00:00"/>
        <d v="2025-04-08T00:00:00"/>
        <d v="2025-04-20T00:00:00"/>
        <d v="2025-04-21T00:00:00"/>
        <d v="2025-05-03T00:00:00"/>
        <d v="2025-05-01T00:00:00"/>
        <d v="2025-05-04T00:00:00"/>
        <d v="2025-05-12T00:00:00"/>
        <d v="2025-05-23T00:00:00"/>
        <d v="2025-05-17T00:00:00"/>
        <d v="2025-05-22T00:00:00"/>
        <d v="2025-06-03T00:00:00"/>
        <d v="2025-06-01T00:00:00"/>
        <d v="2025-06-05T00:00:00"/>
        <d v="2025-06-14T00:00:00"/>
        <d v="2025-06-13T00:00:00"/>
        <d v="2025-06-17T00:00:00"/>
        <d v="2025-06-28T00:00:00"/>
      </sharedItems>
      <fieldGroup par="13"/>
    </cacheField>
    <cacheField name="Duration" numFmtId="0">
      <sharedItems containsSemiMixedTypes="0" containsString="0" containsNumber="1" containsInteger="1" minValue="2" maxValue="11"/>
    </cacheField>
    <cacheField name="Status" numFmtId="0">
      <sharedItems/>
    </cacheField>
    <cacheField name="% Completed" numFmtId="9">
      <sharedItems containsSemiMixedTypes="0" containsString="0" containsNumber="1" minValue="0.1" maxValue="1"/>
    </cacheField>
    <cacheField name="Days (Start Date)" numFmtId="0" databaseField="0">
      <fieldGroup base="5">
        <rangePr groupBy="days" startDate="2025-03-03T00:00:00" endDate="2025-06-26T00:00:00"/>
        <groupItems count="368">
          <s v="&lt;03-03-202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6-06-2025"/>
        </groupItems>
      </fieldGroup>
    </cacheField>
    <cacheField name="Months (Start Date)" numFmtId="0" databaseField="0">
      <fieldGroup base="5">
        <rangePr groupBy="months" startDate="2025-03-03T00:00:00" endDate="2025-06-26T00:00:00"/>
        <groupItems count="14">
          <s v="&lt;03-03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-06-2025"/>
        </groupItems>
      </fieldGroup>
    </cacheField>
    <cacheField name="Days (Finish Date)" numFmtId="0" databaseField="0">
      <fieldGroup base="6">
        <rangePr groupBy="days" startDate="2025-03-05T00:00:00" endDate="2025-06-29T00:00:00"/>
        <groupItems count="368">
          <s v="&lt;05-03-202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-06-2025"/>
        </groupItems>
      </fieldGroup>
    </cacheField>
    <cacheField name="Months (Finish Date)" numFmtId="0" databaseField="0">
      <fieldGroup base="6">
        <rangePr groupBy="months" startDate="2025-03-05T00:00:00" endDate="2025-06-29T00:00:00"/>
        <groupItems count="14">
          <s v="&lt;05-03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06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25"/>
    <s v="Install fencing and gates."/>
    <x v="0"/>
    <x v="0"/>
    <x v="0"/>
    <x v="0"/>
    <n v="2"/>
    <s v="In Progress"/>
    <x v="0"/>
    <n v="0.7"/>
  </r>
  <r>
    <n v="26"/>
    <s v="Conduct thorough inspections at each stage."/>
    <x v="1"/>
    <x v="1"/>
    <x v="1"/>
    <x v="1"/>
    <n v="2"/>
    <s v="Not Started"/>
    <x v="1"/>
    <n v="0.1"/>
  </r>
  <r>
    <n v="27"/>
    <s v="Monitor any issues or defects identified."/>
    <x v="2"/>
    <x v="1"/>
    <x v="2"/>
    <x v="2"/>
    <n v="2"/>
    <s v="In Progress"/>
    <x v="1"/>
    <n v="0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n v="1"/>
    <s v="Conduct site surveys and project evaluation."/>
    <x v="0"/>
    <x v="0"/>
    <n v="1"/>
    <x v="0"/>
    <x v="0"/>
    <n v="2"/>
    <s v="Done"/>
    <n v="1"/>
  </r>
  <r>
    <n v="2"/>
    <s v="Develop architectural designs and blueprints."/>
    <x v="1"/>
    <x v="1"/>
    <n v="5"/>
    <x v="1"/>
    <x v="1"/>
    <n v="5"/>
    <s v="Done"/>
    <n v="1"/>
  </r>
  <r>
    <n v="3"/>
    <s v="Obtain necessary permits and approvals."/>
    <x v="2"/>
    <x v="2"/>
    <n v="2"/>
    <x v="2"/>
    <x v="2"/>
    <n v="2"/>
    <s v="In Progress"/>
    <n v="0.7"/>
  </r>
  <r>
    <n v="4"/>
    <s v="Lay foundations and construct basic infrastructure such as roads and utilities"/>
    <x v="3"/>
    <x v="3"/>
    <n v="5"/>
    <x v="3"/>
    <x v="3"/>
    <n v="6"/>
    <s v="In Progress"/>
    <n v="0.7"/>
  </r>
  <r>
    <n v="5"/>
    <s v="Monitor progress and quality."/>
    <x v="4"/>
    <x v="0"/>
    <n v="5"/>
    <x v="4"/>
    <x v="4"/>
    <n v="5"/>
    <s v="Needs Review"/>
    <n v="0.6"/>
  </r>
  <r>
    <n v="4"/>
    <s v="Lay foundations and construct basic infrastructure such as roads and utilities"/>
    <x v="3"/>
    <x v="3"/>
    <n v="3"/>
    <x v="5"/>
    <x v="4"/>
    <n v="3"/>
    <s v="In Progress"/>
    <n v="0.7"/>
  </r>
  <r>
    <n v="6"/>
    <s v="Estimate the cost and purchase construction materials."/>
    <x v="5"/>
    <x v="4"/>
    <n v="5"/>
    <x v="5"/>
    <x v="5"/>
    <n v="6"/>
    <s v="In Progress"/>
    <n v="0.7"/>
  </r>
  <r>
    <n v="7"/>
    <s v="Monitor progress and quality."/>
    <x v="4"/>
    <x v="0"/>
    <n v="5"/>
    <x v="6"/>
    <x v="6"/>
    <n v="2"/>
    <s v="Needs Review"/>
    <n v="0.6"/>
  </r>
  <r>
    <n v="8"/>
    <s v="Set up temporary site storage facilities."/>
    <x v="3"/>
    <x v="3"/>
    <n v="8"/>
    <x v="7"/>
    <x v="7"/>
    <n v="8"/>
    <s v="In Progress"/>
    <n v="0.7"/>
  </r>
  <r>
    <n v="9"/>
    <s v="Clear and level the site."/>
    <x v="3"/>
    <x v="2"/>
    <n v="5"/>
    <x v="8"/>
    <x v="7"/>
    <n v="5"/>
    <s v="In Progress"/>
    <n v="0.7"/>
  </r>
  <r>
    <n v="10"/>
    <s v="Start digging for building foundations."/>
    <x v="3"/>
    <x v="3"/>
    <n v="3"/>
    <x v="9"/>
    <x v="8"/>
    <n v="4"/>
    <s v="Not Started"/>
    <n v="0.1"/>
  </r>
  <r>
    <n v="8"/>
    <s v="Set up temporary site storage facilities."/>
    <x v="3"/>
    <x v="3"/>
    <n v="5"/>
    <x v="7"/>
    <x v="9"/>
    <n v="11"/>
    <s v="In Progress"/>
    <n v="0.7"/>
  </r>
  <r>
    <n v="11"/>
    <s v="Install basic utilities such as water supply, sewage, electricity."/>
    <x v="6"/>
    <x v="2"/>
    <n v="8"/>
    <x v="10"/>
    <x v="10"/>
    <n v="8"/>
    <s v="In Progress"/>
    <n v="0.7"/>
  </r>
  <r>
    <n v="12"/>
    <s v="Pour concrete and suitable materials to create a stable base for the houses."/>
    <x v="3"/>
    <x v="2"/>
    <n v="5"/>
    <x v="11"/>
    <x v="10"/>
    <n v="6"/>
    <s v="Done"/>
    <n v="1"/>
  </r>
  <r>
    <n v="11"/>
    <s v="Install basic utilities such as water supply, sewage, electricity."/>
    <x v="6"/>
    <x v="2"/>
    <n v="8"/>
    <x v="12"/>
    <x v="11"/>
    <n v="6"/>
    <s v="In Progress"/>
    <n v="0.7"/>
  </r>
  <r>
    <n v="13"/>
    <s v="Construct the frame of the houses like walls and roof."/>
    <x v="3"/>
    <x v="3"/>
    <n v="8"/>
    <x v="13"/>
    <x v="12"/>
    <n v="11"/>
    <s v="Overdue"/>
    <n v="0.8"/>
  </r>
  <r>
    <n v="14"/>
    <s v="Install electrical systems."/>
    <x v="6"/>
    <x v="5"/>
    <n v="3"/>
    <x v="14"/>
    <x v="13"/>
    <n v="3"/>
    <s v="Needs Review"/>
    <n v="0.6"/>
  </r>
  <r>
    <n v="15"/>
    <s v="Ensure proper drainage and sewage systems."/>
    <x v="3"/>
    <x v="6"/>
    <n v="5"/>
    <x v="15"/>
    <x v="14"/>
    <n v="5"/>
    <s v="Not Started"/>
    <n v="0.1"/>
  </r>
  <r>
    <n v="16"/>
    <s v="Install insulation and drywall."/>
    <x v="6"/>
    <x v="7"/>
    <n v="5"/>
    <x v="16"/>
    <x v="15"/>
    <n v="7"/>
    <s v="In Progress"/>
    <n v="0.7"/>
  </r>
  <r>
    <n v="17"/>
    <s v="Complete flooring and ceiling works."/>
    <x v="7"/>
    <x v="7"/>
    <n v="8"/>
    <x v="17"/>
    <x v="16"/>
    <n v="10"/>
    <s v="In Progress"/>
    <n v="0.7"/>
  </r>
  <r>
    <n v="18"/>
    <s v="Paint and finish walls."/>
    <x v="8"/>
    <x v="8"/>
    <n v="3"/>
    <x v="18"/>
    <x v="17"/>
    <n v="3"/>
    <s v="Needs Review"/>
    <n v="0.6"/>
  </r>
  <r>
    <n v="19"/>
    <s v="Create a design and sliding in the exterior."/>
    <x v="1"/>
    <x v="9"/>
    <n v="5"/>
    <x v="19"/>
    <x v="18"/>
    <n v="5"/>
    <s v="In Progress"/>
    <n v="0.7"/>
  </r>
  <r>
    <n v="20"/>
    <s v="Install windows and doors."/>
    <x v="6"/>
    <x v="9"/>
    <n v="5"/>
    <x v="20"/>
    <x v="19"/>
    <n v="6"/>
    <s v="On Hold"/>
    <n v="0.5"/>
  </r>
  <r>
    <n v="21"/>
    <s v="Set up outdoor lighting."/>
    <x v="6"/>
    <x v="9"/>
    <n v="3"/>
    <x v="20"/>
    <x v="20"/>
    <n v="4"/>
    <s v="Needs Review"/>
    <n v="0.6"/>
  </r>
  <r>
    <n v="22"/>
    <s v="Construct parking areas."/>
    <x v="3"/>
    <x v="3"/>
    <n v="2"/>
    <x v="21"/>
    <x v="21"/>
    <n v="2"/>
    <s v="Not Started"/>
    <n v="0.1"/>
  </r>
  <r>
    <n v="23"/>
    <s v="Landscape gardens and green spaces."/>
    <x v="9"/>
    <x v="10"/>
    <n v="3"/>
    <x v="22"/>
    <x v="22"/>
    <n v="3"/>
    <s v="Overdue"/>
    <n v="0.8"/>
  </r>
  <r>
    <n v="24"/>
    <s v="Install fencing and gates."/>
    <x v="6"/>
    <x v="2"/>
    <n v="2"/>
    <x v="22"/>
    <x v="23"/>
    <n v="2"/>
    <s v="In Progress"/>
    <n v="0.7"/>
  </r>
  <r>
    <n v="25"/>
    <s v="Conduct thorough inspections at each stage."/>
    <x v="0"/>
    <x v="11"/>
    <n v="2"/>
    <x v="23"/>
    <x v="24"/>
    <n v="2"/>
    <s v="Not Started"/>
    <n v="0.1"/>
  </r>
  <r>
    <n v="26"/>
    <s v="Monitor any issues or defects identified."/>
    <x v="4"/>
    <x v="11"/>
    <n v="3"/>
    <x v="24"/>
    <x v="25"/>
    <n v="2"/>
    <s v="In Progress"/>
    <n v="0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8BE823-2030-421D-B668-F4744E2F19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14:E21" firstHeaderRow="0" firstDataRow="1" firstDataCol="1"/>
  <pivotFields count="10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axis="axisRow" numFmtId="164" showAll="0">
      <items count="4">
        <item x="0"/>
        <item x="1"/>
        <item x="2"/>
        <item t="default"/>
      </items>
    </pivotField>
    <pivotField numFmtId="164" showAll="0">
      <items count="4">
        <item x="0"/>
        <item x="1"/>
        <item x="2"/>
        <item t="default"/>
      </items>
    </pivotField>
    <pivotField dataField="1" showAll="0"/>
    <pivotField showAll="0"/>
    <pivotField showAll="0">
      <items count="3">
        <item x="1"/>
        <item x="0"/>
        <item t="default"/>
      </items>
    </pivotField>
    <pivotField dataField="1" numFmtId="9" showAll="0"/>
  </pivotFields>
  <rowFields count="2">
    <field x="4"/>
    <field x="2"/>
  </rowFields>
  <rowItems count="7">
    <i>
      <x/>
    </i>
    <i r="1">
      <x/>
    </i>
    <i>
      <x v="1"/>
    </i>
    <i r="1">
      <x v="1"/>
    </i>
    <i>
      <x v="2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uration" fld="6" baseField="0" baseItem="0"/>
    <dataField name="Sum of % Completed" fld="9" baseField="0" baseItem="0" numFmtId="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E08B5-2F29-47C4-ADEF-2F6D2400109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F39:H52" firstHeaderRow="0" firstDataRow="1" firstDataCol="1"/>
  <pivotFields count="14">
    <pivotField showAll="0"/>
    <pivotField showAll="0"/>
    <pivotField showAll="0">
      <items count="11">
        <item x="2"/>
        <item x="3"/>
        <item x="1"/>
        <item x="9"/>
        <item x="6"/>
        <item x="7"/>
        <item x="8"/>
        <item x="5"/>
        <item x="0"/>
        <item x="4"/>
        <item t="default"/>
      </items>
    </pivotField>
    <pivotField axis="axisRow" showAll="0">
      <items count="13">
        <item x="1"/>
        <item x="11"/>
        <item x="3"/>
        <item x="2"/>
        <item x="5"/>
        <item x="9"/>
        <item x="7"/>
        <item x="10"/>
        <item x="8"/>
        <item x="6"/>
        <item x="0"/>
        <item x="4"/>
        <item t="default"/>
      </items>
    </pivotField>
    <pivotField dataField="1" showAll="0"/>
    <pivotField numFmtId="164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umFmtId="164" showAll="0">
      <items count="27">
        <item x="0"/>
        <item x="1"/>
        <item x="2"/>
        <item x="3"/>
        <item x="4"/>
        <item x="6"/>
        <item x="5"/>
        <item x="7"/>
        <item x="9"/>
        <item x="8"/>
        <item x="10"/>
        <item x="11"/>
        <item x="13"/>
        <item x="12"/>
        <item x="14"/>
        <item x="15"/>
        <item x="17"/>
        <item x="18"/>
        <item x="16"/>
        <item x="20"/>
        <item x="19"/>
        <item x="21"/>
        <item x="23"/>
        <item x="22"/>
        <item x="24"/>
        <item x="25"/>
        <item t="default"/>
      </items>
    </pivotField>
    <pivotField dataField="1" showAll="0"/>
    <pivotField showAll="0"/>
    <pivotField numFmtId="9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ry Points" fld="4" baseField="0" baseItem="0"/>
    <dataField name="Sum of Duration" fld="7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4B663-92DF-4438-974B-751B729EE5DB}" name="Table1" displayName="Table1" ref="B7:K12" totalsRowShown="0" headerRowDxfId="109" dataDxfId="108">
  <autoFilter ref="B7:K12" xr:uid="{C914B663-92DF-4438-974B-751B729EE5DB}"/>
  <tableColumns count="10">
    <tableColumn id="1" xr3:uid="{D841612A-F4EF-4886-9DF7-69F16E803524}" name="Task ID" dataDxfId="107"/>
    <tableColumn id="2" xr3:uid="{AD904ECC-D3D8-4F08-98C1-FF7C394E4479}" name="Sprint Task" dataDxfId="106"/>
    <tableColumn id="3" xr3:uid="{08AA0753-41F4-45EA-B620-C0D7A71878A8}" name="Feature type" dataDxfId="105"/>
    <tableColumn id="4" xr3:uid="{B01BB6AE-3A6D-4BD9-A77D-B20F8D76E498}" name="Responsible Person" dataDxfId="104"/>
    <tableColumn id="11" xr3:uid="{F9061947-6740-4C88-876B-CDDE391DD5CC}" name="Story Points" dataDxfId="103"/>
    <tableColumn id="5" xr3:uid="{C937029C-E9D9-48C7-9851-5D0A8FD25CD3}" name="Start Date" dataDxfId="102"/>
    <tableColumn id="6" xr3:uid="{9CECDC58-24CF-4315-9FDA-DE62BD45554D}" name="Finish Date" dataDxfId="101"/>
    <tableColumn id="7" xr3:uid="{7CC6A343-FACA-41B8-8BCF-4011AF5C2A9C}" name="Duration" dataDxfId="100">
      <calculatedColumnFormula>Table1[[#This Row],[Finish Date]]-Table1[[#This Row],[Start Date]]</calculatedColumnFormula>
    </tableColumn>
    <tableColumn id="8" xr3:uid="{CF7AE343-9F88-425E-95EC-DCDA879052C4}" name="Status" dataDxfId="99"/>
    <tableColumn id="9" xr3:uid="{F8B5B0D1-32BA-477B-821D-E932B657DD6D}" name="% Completed" dataDxfId="9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E22DC-AD39-42BB-82A1-91394CA65FBF}" name="Table13" displayName="Table13" ref="B7:K11" totalsRowShown="0" headerRowDxfId="97" dataDxfId="96">
  <autoFilter ref="B7:K11" xr:uid="{4AAE22DC-AD39-42BB-82A1-91394CA65FBF}"/>
  <tableColumns count="10">
    <tableColumn id="1" xr3:uid="{B2A6CC17-53F9-4D04-8EAE-055F36DB2192}" name="Task ID" dataDxfId="95"/>
    <tableColumn id="2" xr3:uid="{4FC61FA7-3E67-4884-BEE9-E08C16574CD1}" name="Sprint Task" dataDxfId="94"/>
    <tableColumn id="3" xr3:uid="{B102AAD0-540B-434D-9DF2-2FC66735116B}" name="Feature type" dataDxfId="93"/>
    <tableColumn id="4" xr3:uid="{C8EF9F35-D8A3-4910-AB42-B36E503F8713}" name="Responsible Person" dataDxfId="92"/>
    <tableColumn id="11" xr3:uid="{67AE359D-C5F9-40FC-A8F2-567F71499D3F}" name="Story Points" dataDxfId="91"/>
    <tableColumn id="5" xr3:uid="{04FC490C-4220-4DA9-A49C-991B3B2320AF}" name="Start Date" dataDxfId="90"/>
    <tableColumn id="6" xr3:uid="{3CF06C9D-9AB6-4732-A128-2E39742E9FE6}" name="Finish Date" dataDxfId="89"/>
    <tableColumn id="7" xr3:uid="{F184E835-F28D-4DAB-B3EF-D3FE30C5BCF3}" name="Duration" dataDxfId="88">
      <calculatedColumnFormula>Table13[[#This Row],[Finish Date]]-Table13[[#This Row],[Start Date]]</calculatedColumnFormula>
    </tableColumn>
    <tableColumn id="8" xr3:uid="{054A029C-6E16-484A-BB82-426A7E43C7B4}" name="Status" dataDxfId="87"/>
    <tableColumn id="9" xr3:uid="{ECE3C95F-2F00-4BBA-9D74-75235B84E736}" name="% Completed" dataDxfId="8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9B1B94-93C0-4FEC-B3D9-B0EDA1A33DE1}" name="Table14" displayName="Table14" ref="B7:K11" totalsRowShown="0" headerRowDxfId="85" dataDxfId="84">
  <autoFilter ref="B7:K11" xr:uid="{CD9B1B94-93C0-4FEC-B3D9-B0EDA1A33DE1}"/>
  <tableColumns count="10">
    <tableColumn id="1" xr3:uid="{38696FBE-19EC-4A70-B541-268F75065311}" name="Task ID" dataDxfId="83"/>
    <tableColumn id="2" xr3:uid="{41B4AB95-6278-4149-825D-2E6B5D2E1184}" name="Sprint Task" dataDxfId="82"/>
    <tableColumn id="3" xr3:uid="{D257330A-F238-4EBC-90D4-C5386367D944}" name="Feature type" dataDxfId="81"/>
    <tableColumn id="4" xr3:uid="{98DBCE60-8617-4CD7-ACA5-4803AA1A0D12}" name="Responsible Person" dataDxfId="80"/>
    <tableColumn id="11" xr3:uid="{10B87ECE-82A4-4526-A64B-310574A7E02C}" name="Story Points" dataDxfId="79"/>
    <tableColumn id="5" xr3:uid="{02D9AE30-FE39-4ED0-B157-2C96CA0D3988}" name="Start Date" dataDxfId="78"/>
    <tableColumn id="6" xr3:uid="{B14DA1F6-30D3-44E7-B655-16A4BEB10E2D}" name="Finish Date" dataDxfId="77"/>
    <tableColumn id="7" xr3:uid="{FDAE7931-93A6-4883-B052-67441CCC963F}" name="Duration" dataDxfId="76">
      <calculatedColumnFormula>Table14[[#This Row],[Finish Date]]-Table14[[#This Row],[Start Date]]</calculatedColumnFormula>
    </tableColumn>
    <tableColumn id="8" xr3:uid="{6092332F-3EB8-4BE2-A62D-EEE689D35452}" name="Status" dataDxfId="75"/>
    <tableColumn id="9" xr3:uid="{5C61C527-0FA4-42A2-97BD-62217774B2FA}" name="% Completed" dataDxfId="7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9B404E-A12E-4E50-83C3-610DE4F605AE}" name="Table15" displayName="Table15" ref="B7:K11" totalsRowShown="0" headerRowDxfId="73" dataDxfId="72">
  <autoFilter ref="B7:K11" xr:uid="{859B404E-A12E-4E50-83C3-610DE4F605AE}"/>
  <tableColumns count="10">
    <tableColumn id="1" xr3:uid="{EA0356CF-7088-4C9C-8092-D3EEB6679EAD}" name="Task ID" dataDxfId="71"/>
    <tableColumn id="2" xr3:uid="{322EA7CA-31B2-4F39-98A7-27576F9E6EF6}" name="Sprint Task" dataDxfId="70"/>
    <tableColumn id="3" xr3:uid="{B971EA1C-96AB-43DC-BEBE-B3BFC92984E9}" name="Feature type" dataDxfId="69"/>
    <tableColumn id="4" xr3:uid="{47A8CCFC-175D-47C6-BA40-EF9F773E66BA}" name="Responsible Person" dataDxfId="68"/>
    <tableColumn id="11" xr3:uid="{3A7AF582-B293-4A49-8021-381AAB2D29A9}" name="Story Points" dataDxfId="67"/>
    <tableColumn id="5" xr3:uid="{76114449-E2C9-4042-9DA6-00AEF469999C}" name="Start Date" dataDxfId="66"/>
    <tableColumn id="6" xr3:uid="{BEC59B66-0844-4065-BBC4-CE3247EAEAFF}" name="Finish Date" dataDxfId="65"/>
    <tableColumn id="7" xr3:uid="{BAD44822-71A1-4FFE-AB5E-6EC8D2B960F9}" name="Duration" dataDxfId="64">
      <calculatedColumnFormula>Table15[[#This Row],[Finish Date]]-Table15[[#This Row],[Start Date]]</calculatedColumnFormula>
    </tableColumn>
    <tableColumn id="8" xr3:uid="{3C706AB4-BEE9-4FEA-B05C-E5FA460FDC34}" name="Status" dataDxfId="63"/>
    <tableColumn id="9" xr3:uid="{71EFD695-370F-4623-8462-B4435048F6CF}" name="% Completed" dataDxfId="6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CCAED8-0980-4EC8-A6DB-9F5CEABC269B}" name="Table16" displayName="Table16" ref="B7:K10" totalsRowShown="0" headerRowDxfId="61" dataDxfId="60">
  <autoFilter ref="B7:K10" xr:uid="{6CCCAED8-0980-4EC8-A6DB-9F5CEABC269B}"/>
  <tableColumns count="10">
    <tableColumn id="1" xr3:uid="{45814707-D3D5-47B1-A44A-FA8BEEEE1C23}" name="Task ID" dataDxfId="59"/>
    <tableColumn id="2" xr3:uid="{021F5B24-E80F-4A17-966A-7B7E5A643DB4}" name="Sprint Task" dataDxfId="58"/>
    <tableColumn id="3" xr3:uid="{FA3B6848-A31F-4CDC-88EC-6AB23F21A0FD}" name="Feature type" dataDxfId="57"/>
    <tableColumn id="4" xr3:uid="{FA890322-6A37-4AA2-B72B-FA88B410FD0E}" name="Responsible Person" dataDxfId="56"/>
    <tableColumn id="11" xr3:uid="{065B3708-4AA6-4015-A00F-1A54755F035F}" name="Story Points" dataDxfId="55"/>
    <tableColumn id="5" xr3:uid="{3C0BA989-BBA1-4F57-8610-D7C481276660}" name="Start Date" dataDxfId="54"/>
    <tableColumn id="6" xr3:uid="{E81381A8-F802-4F74-8E2A-1D97F842F995}" name="Finish Date" dataDxfId="53"/>
    <tableColumn id="7" xr3:uid="{41D27FF1-D259-4F58-9ED5-947C216FD1FA}" name="Duration" dataDxfId="52">
      <calculatedColumnFormula>Table16[[#This Row],[Finish Date]]-Table16[[#This Row],[Start Date]]</calculatedColumnFormula>
    </tableColumn>
    <tableColumn id="8" xr3:uid="{0F745D8A-13DA-4DC7-B62A-35685273E08C}" name="Status" dataDxfId="51"/>
    <tableColumn id="9" xr3:uid="{F7CEE1AC-9591-4C3B-9A4B-312209191AC4}" name="% Completed" dataDxfId="5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1369E9-391A-4AA4-B1AF-6621020B9013}" name="Table17" displayName="Table17" ref="B7:K10" totalsRowShown="0" headerRowDxfId="49" dataDxfId="48">
  <autoFilter ref="B7:K10" xr:uid="{001369E9-391A-4AA4-B1AF-6621020B9013}"/>
  <tableColumns count="10">
    <tableColumn id="1" xr3:uid="{86B91EBD-758B-48CA-88E8-C488D1A38D2F}" name="Task ID" dataDxfId="47"/>
    <tableColumn id="2" xr3:uid="{F02A4750-5950-41AD-A096-E97C1985904F}" name="Sprint Task" dataDxfId="46"/>
    <tableColumn id="3" xr3:uid="{522B556D-ADB7-4851-A5D2-94A1D3B143A5}" name="Feature type" dataDxfId="45"/>
    <tableColumn id="4" xr3:uid="{CCFC4A80-94F1-4995-B5F1-2F1995D9F8FB}" name="Responsible Person" dataDxfId="44"/>
    <tableColumn id="12" xr3:uid="{8698B97A-D14B-4E7F-9867-DCDB11B8FA05}" name="Story Points" dataDxfId="43"/>
    <tableColumn id="5" xr3:uid="{35AD1B83-A68D-4F27-9D88-1D8C06925386}" name="Start Date" dataDxfId="42"/>
    <tableColumn id="6" xr3:uid="{B887BD23-9531-4DA6-957C-15C0BA20AAD5}" name="Finish Date" dataDxfId="41"/>
    <tableColumn id="7" xr3:uid="{9F796CDF-2752-42B3-85D9-D5263B8E36FC}" name="Duration" dataDxfId="40">
      <calculatedColumnFormula>Table17[[#This Row],[Finish Date]]-Table17[[#This Row],[Start Date]]</calculatedColumnFormula>
    </tableColumn>
    <tableColumn id="8" xr3:uid="{95CF9562-6FC3-4B10-B1AA-36A4B27A7D7C}" name="Status" dataDxfId="39"/>
    <tableColumn id="9" xr3:uid="{36B7A7BA-A764-4874-83BB-6B0D064CF7C1}" name="% Completed" dataDxfId="38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4E587E-13FD-4ADF-AB2A-2F580582099C}" name="Table18" displayName="Table18" ref="B7:K10" totalsRowShown="0" headerRowDxfId="37" dataDxfId="36">
  <autoFilter ref="B7:K10" xr:uid="{0F4E587E-13FD-4ADF-AB2A-2F580582099C}"/>
  <tableColumns count="10">
    <tableColumn id="1" xr3:uid="{DD9082C6-3BE2-4818-B305-4AE663AD2224}" name="Task ID" dataDxfId="35"/>
    <tableColumn id="2" xr3:uid="{89AB0261-A1CB-4C1D-A034-07C4FD769147}" name="Sprint Task" dataDxfId="34"/>
    <tableColumn id="3" xr3:uid="{6529C398-D6C8-49B6-BEDC-AE98308DC2E7}" name="Feature type" dataDxfId="33"/>
    <tableColumn id="4" xr3:uid="{706E73F6-3E15-4CDF-8934-4B07068E064E}" name="Responsible Person" dataDxfId="32"/>
    <tableColumn id="11" xr3:uid="{E3DF3D20-D6A8-4E9F-924A-28304527C82A}" name="Story Points" dataDxfId="31"/>
    <tableColumn id="5" xr3:uid="{F934D3E5-6FA4-47A1-908C-811ABA346B74}" name="Start Date" dataDxfId="30"/>
    <tableColumn id="6" xr3:uid="{EDC2622F-F6A8-4A91-8FE8-C03066B5EAEF}" name="Finish Date" dataDxfId="29"/>
    <tableColumn id="7" xr3:uid="{6A90C345-C8F3-4868-9828-0E96EE9540D8}" name="Duration" dataDxfId="28">
      <calculatedColumnFormula>Table18[[#This Row],[Finish Date]]-Table18[[#This Row],[Start Date]]</calculatedColumnFormula>
    </tableColumn>
    <tableColumn id="8" xr3:uid="{80875E3E-B12F-40E6-84B9-31BCD4F69B82}" name="Status" dataDxfId="27"/>
    <tableColumn id="9" xr3:uid="{CC6605FF-CFB9-4F80-8B40-3F9B5B3BD4E1}" name="% Completed" dataDxfId="26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D5A747-1C01-42D4-B265-EC47B3618C2D}" name="Table19" displayName="Table19" ref="B7:K10" totalsRowShown="0" headerRowDxfId="25" dataDxfId="24">
  <autoFilter ref="B7:K10" xr:uid="{0AD5A747-1C01-42D4-B265-EC47B3618C2D}"/>
  <tableColumns count="10">
    <tableColumn id="1" xr3:uid="{D5B4093C-86C7-4F9B-A9C7-CC51BD456541}" name="Task ID" dataDxfId="23"/>
    <tableColumn id="2" xr3:uid="{8AE20BB6-5B63-4D40-AA04-7CED10B6EC83}" name="Sprint Task" dataDxfId="22"/>
    <tableColumn id="3" xr3:uid="{7CC043DD-1EC9-447F-A72C-F739BFC92BA9}" name="Feature type" dataDxfId="21"/>
    <tableColumn id="4" xr3:uid="{05353DDE-1AC7-4E41-9120-7C14D697A9F9}" name="Responsible Person" dataDxfId="20"/>
    <tableColumn id="11" xr3:uid="{13915D69-1A1D-44AE-A864-9FDE3AA73C44}" name="Story Points" dataDxfId="19"/>
    <tableColumn id="5" xr3:uid="{99C0E4EB-2EBB-41DC-86B9-FEDE03C40C2B}" name="Start Date" dataDxfId="18"/>
    <tableColumn id="6" xr3:uid="{126875BF-9B51-4707-8B34-9E985D147F54}" name="Finish Date" dataDxfId="17"/>
    <tableColumn id="7" xr3:uid="{D9FCA660-1BB2-407E-9429-5B56BCD2D060}" name="Duration" dataDxfId="16"/>
    <tableColumn id="8" xr3:uid="{185DBBB4-DBAC-455D-B10B-117B907F59FA}" name="Status" dataDxfId="15"/>
    <tableColumn id="9" xr3:uid="{C172353A-36F9-42E7-BCC8-5F93F13C61CF}" name="% Completed" dataDxfId="14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7CA8-CA9F-4B1E-A2BC-8867D791DBEA}">
  <dimension ref="B1:H28"/>
  <sheetViews>
    <sheetView tabSelected="1" zoomScale="80" zoomScaleNormal="80" workbookViewId="0">
      <selection activeCell="B1" sqref="B1:H1"/>
    </sheetView>
  </sheetViews>
  <sheetFormatPr defaultRowHeight="14.4" x14ac:dyDescent="0.3"/>
  <cols>
    <col min="2" max="2" width="18.5546875" bestFit="1" customWidth="1"/>
    <col min="3" max="3" width="74.88671875" bestFit="1" customWidth="1"/>
    <col min="4" max="4" width="12.33203125" bestFit="1" customWidth="1"/>
    <col min="5" max="5" width="14" bestFit="1" customWidth="1"/>
    <col min="6" max="6" width="10.6640625" bestFit="1" customWidth="1"/>
    <col min="7" max="7" width="17.109375" bestFit="1" customWidth="1"/>
    <col min="8" max="8" width="32.6640625" bestFit="1" customWidth="1"/>
  </cols>
  <sheetData>
    <row r="1" spans="2:8" ht="25.8" x14ac:dyDescent="0.5">
      <c r="B1" s="67" t="s">
        <v>38</v>
      </c>
      <c r="C1" s="67"/>
      <c r="D1" s="67"/>
      <c r="E1" s="67"/>
      <c r="F1" s="67"/>
      <c r="G1" s="67"/>
      <c r="H1" s="67"/>
    </row>
    <row r="3" spans="2:8" ht="18" x14ac:dyDescent="0.3">
      <c r="B3" s="44" t="s">
        <v>34</v>
      </c>
      <c r="C3" s="44" t="s">
        <v>35</v>
      </c>
      <c r="D3" s="44" t="s">
        <v>26</v>
      </c>
      <c r="E3" s="44" t="s">
        <v>10</v>
      </c>
      <c r="F3" s="44" t="s">
        <v>36</v>
      </c>
      <c r="G3" s="44" t="s">
        <v>37</v>
      </c>
      <c r="H3" s="44" t="s">
        <v>71</v>
      </c>
    </row>
    <row r="4" spans="2:8" ht="15.6" x14ac:dyDescent="0.3">
      <c r="B4" s="28">
        <v>1</v>
      </c>
      <c r="C4" s="46" t="s">
        <v>100</v>
      </c>
      <c r="D4" s="30" t="s">
        <v>29</v>
      </c>
      <c r="E4" s="30" t="s">
        <v>12</v>
      </c>
      <c r="F4" s="29">
        <v>1</v>
      </c>
      <c r="G4" s="29" t="s">
        <v>22</v>
      </c>
      <c r="H4" s="31">
        <v>1</v>
      </c>
    </row>
    <row r="5" spans="2:8" ht="15.6" x14ac:dyDescent="0.3">
      <c r="B5" s="28">
        <v>2</v>
      </c>
      <c r="C5" s="46" t="s">
        <v>101</v>
      </c>
      <c r="D5" s="30" t="s">
        <v>29</v>
      </c>
      <c r="E5" s="30" t="s">
        <v>12</v>
      </c>
      <c r="F5" s="29">
        <v>1</v>
      </c>
      <c r="G5" s="29" t="s">
        <v>21</v>
      </c>
      <c r="H5" s="31">
        <v>5</v>
      </c>
    </row>
    <row r="6" spans="2:8" ht="15.6" x14ac:dyDescent="0.3">
      <c r="B6" s="28">
        <v>3</v>
      </c>
      <c r="C6" s="46" t="s">
        <v>102</v>
      </c>
      <c r="D6" s="30" t="s">
        <v>29</v>
      </c>
      <c r="E6" s="30" t="s">
        <v>32</v>
      </c>
      <c r="F6" s="29">
        <v>1</v>
      </c>
      <c r="G6" s="29" t="s">
        <v>24</v>
      </c>
      <c r="H6" s="31">
        <v>2</v>
      </c>
    </row>
    <row r="7" spans="2:8" ht="15.6" x14ac:dyDescent="0.3">
      <c r="B7" s="28">
        <v>4</v>
      </c>
      <c r="C7" s="46" t="s">
        <v>103</v>
      </c>
      <c r="D7" s="29" t="s">
        <v>28</v>
      </c>
      <c r="E7" s="29" t="s">
        <v>12</v>
      </c>
      <c r="F7" s="29">
        <v>1</v>
      </c>
      <c r="G7" s="29" t="s">
        <v>20</v>
      </c>
      <c r="H7" s="28">
        <v>5</v>
      </c>
    </row>
    <row r="8" spans="2:8" ht="15.6" x14ac:dyDescent="0.3">
      <c r="B8" s="28">
        <v>5</v>
      </c>
      <c r="C8" s="46" t="s">
        <v>104</v>
      </c>
      <c r="D8" s="29" t="s">
        <v>28</v>
      </c>
      <c r="E8" s="29" t="s">
        <v>13</v>
      </c>
      <c r="F8" s="29">
        <v>1</v>
      </c>
      <c r="G8" s="29" t="s">
        <v>22</v>
      </c>
      <c r="H8" s="28">
        <v>5</v>
      </c>
    </row>
    <row r="9" spans="2:8" ht="15.6" x14ac:dyDescent="0.3">
      <c r="B9" s="28">
        <v>6</v>
      </c>
      <c r="C9" s="46" t="s">
        <v>105</v>
      </c>
      <c r="D9" s="30" t="s">
        <v>29</v>
      </c>
      <c r="E9" s="29" t="s">
        <v>12</v>
      </c>
      <c r="F9" s="29">
        <v>2</v>
      </c>
      <c r="G9" s="29" t="s">
        <v>49</v>
      </c>
      <c r="H9" s="28">
        <v>30</v>
      </c>
    </row>
    <row r="10" spans="2:8" ht="15.6" x14ac:dyDescent="0.3">
      <c r="B10" s="28">
        <v>7</v>
      </c>
      <c r="C10" s="46" t="s">
        <v>106</v>
      </c>
      <c r="D10" s="29" t="s">
        <v>28</v>
      </c>
      <c r="E10" s="29" t="s">
        <v>30</v>
      </c>
      <c r="F10" s="29">
        <v>2</v>
      </c>
      <c r="G10" s="29" t="s">
        <v>20</v>
      </c>
      <c r="H10" s="28">
        <v>20</v>
      </c>
    </row>
    <row r="11" spans="2:8" ht="15.6" x14ac:dyDescent="0.3">
      <c r="B11" s="28">
        <v>8</v>
      </c>
      <c r="C11" s="46" t="s">
        <v>107</v>
      </c>
      <c r="D11" s="30" t="s">
        <v>29</v>
      </c>
      <c r="E11" s="29" t="s">
        <v>12</v>
      </c>
      <c r="F11" s="29">
        <v>3</v>
      </c>
      <c r="G11" s="29" t="s">
        <v>24</v>
      </c>
      <c r="H11" s="28">
        <v>10</v>
      </c>
    </row>
    <row r="12" spans="2:8" ht="15.6" x14ac:dyDescent="0.3">
      <c r="B12" s="28">
        <v>9</v>
      </c>
      <c r="C12" s="46" t="s">
        <v>108</v>
      </c>
      <c r="D12" s="30" t="s">
        <v>29</v>
      </c>
      <c r="E12" s="29" t="s">
        <v>12</v>
      </c>
      <c r="F12" s="29">
        <v>3</v>
      </c>
      <c r="G12" s="29" t="s">
        <v>20</v>
      </c>
      <c r="H12" s="28">
        <v>15</v>
      </c>
    </row>
    <row r="13" spans="2:8" ht="15.6" x14ac:dyDescent="0.3">
      <c r="B13" s="28">
        <v>10</v>
      </c>
      <c r="C13" s="46" t="s">
        <v>109</v>
      </c>
      <c r="D13" s="29" t="s">
        <v>28</v>
      </c>
      <c r="E13" s="29" t="s">
        <v>33</v>
      </c>
      <c r="F13" s="29">
        <v>3</v>
      </c>
      <c r="G13" s="29" t="s">
        <v>24</v>
      </c>
      <c r="H13" s="28">
        <v>8</v>
      </c>
    </row>
    <row r="14" spans="2:8" ht="15.6" x14ac:dyDescent="0.3">
      <c r="B14" s="28">
        <v>11</v>
      </c>
      <c r="C14" s="46" t="s">
        <v>110</v>
      </c>
      <c r="D14" s="29" t="s">
        <v>28</v>
      </c>
      <c r="E14" s="29" t="s">
        <v>12</v>
      </c>
      <c r="F14" s="29">
        <v>4</v>
      </c>
      <c r="G14" s="29" t="s">
        <v>24</v>
      </c>
      <c r="H14" s="28">
        <v>15</v>
      </c>
    </row>
    <row r="15" spans="2:8" ht="15.6" x14ac:dyDescent="0.3">
      <c r="B15" s="28">
        <v>12</v>
      </c>
      <c r="C15" s="46" t="s">
        <v>111</v>
      </c>
      <c r="D15" s="30" t="s">
        <v>29</v>
      </c>
      <c r="E15" s="29" t="s">
        <v>12</v>
      </c>
      <c r="F15" s="29">
        <v>4</v>
      </c>
      <c r="G15" s="29" t="s">
        <v>20</v>
      </c>
      <c r="H15" s="28">
        <v>30</v>
      </c>
    </row>
    <row r="16" spans="2:8" ht="15.6" x14ac:dyDescent="0.3">
      <c r="B16" s="28">
        <v>13</v>
      </c>
      <c r="C16" s="46" t="s">
        <v>112</v>
      </c>
      <c r="D16" s="30" t="s">
        <v>29</v>
      </c>
      <c r="E16" s="29" t="s">
        <v>33</v>
      </c>
      <c r="F16" s="29">
        <v>4</v>
      </c>
      <c r="G16" s="29" t="s">
        <v>50</v>
      </c>
      <c r="H16" s="28">
        <v>8</v>
      </c>
    </row>
    <row r="17" spans="2:8" ht="15.6" x14ac:dyDescent="0.3">
      <c r="B17" s="28">
        <v>14</v>
      </c>
      <c r="C17" s="46" t="s">
        <v>113</v>
      </c>
      <c r="D17" s="29" t="s">
        <v>28</v>
      </c>
      <c r="E17" s="29" t="s">
        <v>12</v>
      </c>
      <c r="F17" s="29">
        <v>5</v>
      </c>
      <c r="G17" s="29" t="s">
        <v>25</v>
      </c>
      <c r="H17" s="28">
        <v>5</v>
      </c>
    </row>
    <row r="18" spans="2:8" ht="15.6" x14ac:dyDescent="0.3">
      <c r="B18" s="28">
        <v>15</v>
      </c>
      <c r="C18" s="46" t="s">
        <v>114</v>
      </c>
      <c r="D18" s="29" t="s">
        <v>28</v>
      </c>
      <c r="E18" s="29" t="s">
        <v>12</v>
      </c>
      <c r="F18" s="29">
        <v>5</v>
      </c>
      <c r="G18" s="29" t="s">
        <v>51</v>
      </c>
      <c r="H18" s="28">
        <v>10</v>
      </c>
    </row>
    <row r="19" spans="2:8" ht="15.6" x14ac:dyDescent="0.3">
      <c r="B19" s="28">
        <v>16</v>
      </c>
      <c r="C19" s="46" t="s">
        <v>115</v>
      </c>
      <c r="D19" s="29" t="s">
        <v>28</v>
      </c>
      <c r="E19" s="29" t="s">
        <v>12</v>
      </c>
      <c r="F19" s="29">
        <v>5</v>
      </c>
      <c r="G19" s="29" t="s">
        <v>51</v>
      </c>
      <c r="H19" s="28">
        <v>10</v>
      </c>
    </row>
    <row r="20" spans="2:8" ht="15.6" x14ac:dyDescent="0.3">
      <c r="B20" s="28">
        <v>17</v>
      </c>
      <c r="C20" s="46" t="s">
        <v>116</v>
      </c>
      <c r="D20" s="30" t="s">
        <v>29</v>
      </c>
      <c r="E20" s="29" t="s">
        <v>12</v>
      </c>
      <c r="F20" s="29">
        <v>6</v>
      </c>
      <c r="G20" s="29" t="s">
        <v>52</v>
      </c>
      <c r="H20" s="28">
        <v>5</v>
      </c>
    </row>
    <row r="21" spans="2:8" ht="15.6" x14ac:dyDescent="0.3">
      <c r="B21" s="28">
        <v>18</v>
      </c>
      <c r="C21" s="46" t="s">
        <v>117</v>
      </c>
      <c r="D21" s="30" t="s">
        <v>29</v>
      </c>
      <c r="E21" s="29" t="s">
        <v>13</v>
      </c>
      <c r="F21" s="29">
        <v>6</v>
      </c>
      <c r="G21" s="29" t="s">
        <v>53</v>
      </c>
      <c r="H21" s="28">
        <v>5</v>
      </c>
    </row>
    <row r="22" spans="2:8" ht="15.6" x14ac:dyDescent="0.3">
      <c r="B22" s="28">
        <v>19</v>
      </c>
      <c r="C22" s="46" t="s">
        <v>118</v>
      </c>
      <c r="D22" s="30" t="s">
        <v>29</v>
      </c>
      <c r="E22" s="29" t="s">
        <v>12</v>
      </c>
      <c r="F22" s="29">
        <v>6</v>
      </c>
      <c r="G22" s="29" t="s">
        <v>53</v>
      </c>
      <c r="H22" s="28">
        <v>6</v>
      </c>
    </row>
    <row r="23" spans="2:8" ht="15.6" x14ac:dyDescent="0.3">
      <c r="B23" s="28">
        <v>20</v>
      </c>
      <c r="C23" s="46" t="s">
        <v>119</v>
      </c>
      <c r="D23" s="30" t="s">
        <v>29</v>
      </c>
      <c r="E23" s="29" t="s">
        <v>12</v>
      </c>
      <c r="F23" s="29">
        <v>7</v>
      </c>
      <c r="G23" s="29" t="s">
        <v>53</v>
      </c>
      <c r="H23" s="28">
        <v>5</v>
      </c>
    </row>
    <row r="24" spans="2:8" ht="15.6" x14ac:dyDescent="0.3">
      <c r="B24" s="28">
        <v>21</v>
      </c>
      <c r="C24" s="46" t="s">
        <v>120</v>
      </c>
      <c r="D24" s="29" t="s">
        <v>28</v>
      </c>
      <c r="E24" s="29" t="s">
        <v>12</v>
      </c>
      <c r="F24" s="29">
        <v>7</v>
      </c>
      <c r="G24" s="29" t="s">
        <v>20</v>
      </c>
      <c r="H24" s="28">
        <v>5</v>
      </c>
    </row>
    <row r="25" spans="2:8" ht="15.6" x14ac:dyDescent="0.3">
      <c r="B25" s="28">
        <v>22</v>
      </c>
      <c r="C25" s="46" t="s">
        <v>121</v>
      </c>
      <c r="D25" s="29" t="s">
        <v>28</v>
      </c>
      <c r="E25" s="29" t="s">
        <v>13</v>
      </c>
      <c r="F25" s="29">
        <v>7</v>
      </c>
      <c r="G25" s="29" t="s">
        <v>54</v>
      </c>
      <c r="H25" s="28">
        <v>5</v>
      </c>
    </row>
    <row r="26" spans="2:8" ht="15.6" x14ac:dyDescent="0.3">
      <c r="B26" s="28">
        <v>23</v>
      </c>
      <c r="C26" s="46" t="s">
        <v>122</v>
      </c>
      <c r="D26" s="30" t="s">
        <v>29</v>
      </c>
      <c r="E26" s="29" t="s">
        <v>12</v>
      </c>
      <c r="F26" s="29">
        <v>8</v>
      </c>
      <c r="G26" s="29" t="s">
        <v>24</v>
      </c>
      <c r="H26" s="28">
        <v>2</v>
      </c>
    </row>
    <row r="27" spans="2:8" ht="15.6" x14ac:dyDescent="0.3">
      <c r="B27" s="28">
        <v>24</v>
      </c>
      <c r="C27" s="46" t="s">
        <v>123</v>
      </c>
      <c r="D27" s="30" t="s">
        <v>29</v>
      </c>
      <c r="E27" s="29" t="s">
        <v>31</v>
      </c>
      <c r="F27" s="29">
        <v>8</v>
      </c>
      <c r="G27" s="29" t="s">
        <v>55</v>
      </c>
      <c r="H27" s="28">
        <v>2</v>
      </c>
    </row>
    <row r="28" spans="2:8" ht="15.6" x14ac:dyDescent="0.3">
      <c r="B28" s="28">
        <v>25</v>
      </c>
      <c r="C28" s="46" t="s">
        <v>124</v>
      </c>
      <c r="D28" s="29" t="s">
        <v>28</v>
      </c>
      <c r="E28" s="29" t="s">
        <v>31</v>
      </c>
      <c r="F28" s="29">
        <v>8</v>
      </c>
      <c r="G28" s="29" t="s">
        <v>55</v>
      </c>
      <c r="H28" s="28">
        <v>2</v>
      </c>
    </row>
  </sheetData>
  <autoFilter ref="B3:H3" xr:uid="{0B5A7CA8-CA9F-4B1E-A2BC-8867D791DBEA}"/>
  <mergeCells count="1">
    <mergeCell ref="B1:H1"/>
  </mergeCells>
  <conditionalFormatting sqref="D4:D28">
    <cfRule type="containsText" dxfId="13" priority="1" operator="containsText" text="High">
      <formula>NOT(ISERROR(SEARCH("High",D4)))</formula>
    </cfRule>
  </conditionalFormatting>
  <conditionalFormatting sqref="E4:E28">
    <cfRule type="containsText" dxfId="12" priority="2" operator="containsText" text="On Hold">
      <formula>NOT(ISERROR(SEARCH("On Hold",E4)))</formula>
    </cfRule>
    <cfRule type="containsText" dxfId="11" priority="3" operator="containsText" text="Done">
      <formula>NOT(ISERROR(SEARCH("Done",E4)))</formula>
    </cfRule>
    <cfRule type="containsText" dxfId="10" priority="4" operator="containsText" text="In Progress">
      <formula>NOT(ISERROR(SEARCH("In Progress",E4)))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C0D5549-F0F5-449B-90C2-CCA8CA6D1D5D}">
          <x14:formula1>
            <xm:f>Dropdown_keys!$D$4:$D$6</xm:f>
          </x14:formula1>
          <xm:sqref>D4:D28</xm:sqref>
        </x14:dataValidation>
        <x14:dataValidation type="list" allowBlank="1" showInputMessage="1" showErrorMessage="1" xr:uid="{7967DECB-E8BC-4838-8ACA-EC8E7DDAF807}">
          <x14:formula1>
            <xm:f>Dropdown_keys!$B$4:$B$10</xm:f>
          </x14:formula1>
          <xm:sqref>E4:E28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F463-7F43-450B-AC43-7F7F061B89A2}">
  <dimension ref="B1:F14"/>
  <sheetViews>
    <sheetView workbookViewId="0">
      <selection activeCell="B1" sqref="B1:F1"/>
    </sheetView>
  </sheetViews>
  <sheetFormatPr defaultRowHeight="14.4" x14ac:dyDescent="0.3"/>
  <cols>
    <col min="2" max="2" width="25.21875" bestFit="1" customWidth="1"/>
    <col min="3" max="3" width="20" bestFit="1" customWidth="1"/>
    <col min="4" max="4" width="13.109375" bestFit="1" customWidth="1"/>
    <col min="5" max="5" width="13.21875" bestFit="1" customWidth="1"/>
    <col min="6" max="6" width="14.44140625" bestFit="1" customWidth="1"/>
  </cols>
  <sheetData>
    <row r="1" spans="2:6" ht="24" thickBot="1" x14ac:dyDescent="0.5">
      <c r="B1" s="68" t="s">
        <v>87</v>
      </c>
      <c r="C1" s="69"/>
      <c r="D1" s="69"/>
      <c r="E1" s="69"/>
      <c r="F1" s="70"/>
    </row>
    <row r="2" spans="2:6" ht="15" thickBot="1" x14ac:dyDescent="0.35"/>
    <row r="3" spans="2:6" ht="16.2" thickBot="1" x14ac:dyDescent="0.35">
      <c r="B3" s="42" t="s">
        <v>89</v>
      </c>
      <c r="C3" s="43" t="s">
        <v>92</v>
      </c>
      <c r="D3" s="43" t="s">
        <v>98</v>
      </c>
      <c r="E3" s="43" t="s">
        <v>90</v>
      </c>
      <c r="F3" s="43" t="s">
        <v>91</v>
      </c>
    </row>
    <row r="4" spans="2:6" x14ac:dyDescent="0.3">
      <c r="B4" s="71" t="s">
        <v>88</v>
      </c>
      <c r="C4" s="74">
        <v>1000</v>
      </c>
      <c r="D4" s="74">
        <v>2500</v>
      </c>
      <c r="E4" s="74">
        <f>C4*D4</f>
        <v>2500000</v>
      </c>
      <c r="F4" s="77">
        <f>5*E4</f>
        <v>12500000</v>
      </c>
    </row>
    <row r="5" spans="2:6" x14ac:dyDescent="0.3">
      <c r="B5" s="72"/>
      <c r="C5" s="75"/>
      <c r="D5" s="75"/>
      <c r="E5" s="75"/>
      <c r="F5" s="78"/>
    </row>
    <row r="6" spans="2:6" ht="15" thickBot="1" x14ac:dyDescent="0.35">
      <c r="B6" s="73"/>
      <c r="C6" s="76"/>
      <c r="D6" s="76"/>
      <c r="E6" s="76"/>
      <c r="F6" s="79"/>
    </row>
    <row r="7" spans="2:6" ht="16.2" thickBot="1" x14ac:dyDescent="0.35">
      <c r="B7" s="80" t="s">
        <v>93</v>
      </c>
      <c r="C7" s="81"/>
      <c r="D7" s="81"/>
      <c r="E7" s="81"/>
      <c r="F7" s="82"/>
    </row>
    <row r="8" spans="2:6" x14ac:dyDescent="0.3">
      <c r="B8" s="71" t="s">
        <v>94</v>
      </c>
      <c r="C8" s="83"/>
      <c r="D8" s="83"/>
      <c r="E8" s="74">
        <f>10%*E4</f>
        <v>250000</v>
      </c>
      <c r="F8" s="77">
        <f>10%*F4</f>
        <v>1250000</v>
      </c>
    </row>
    <row r="9" spans="2:6" ht="15" thickBot="1" x14ac:dyDescent="0.35">
      <c r="B9" s="73"/>
      <c r="C9" s="84"/>
      <c r="D9" s="84"/>
      <c r="E9" s="76"/>
      <c r="F9" s="79"/>
    </row>
    <row r="10" spans="2:6" ht="16.2" thickBot="1" x14ac:dyDescent="0.35">
      <c r="B10" s="80" t="s">
        <v>95</v>
      </c>
      <c r="C10" s="81"/>
      <c r="D10" s="81"/>
      <c r="E10" s="81"/>
      <c r="F10" s="82"/>
    </row>
    <row r="11" spans="2:6" x14ac:dyDescent="0.3">
      <c r="B11" s="71" t="s">
        <v>96</v>
      </c>
      <c r="C11" s="83"/>
      <c r="D11" s="83"/>
      <c r="E11" s="74">
        <f>15%*E4</f>
        <v>375000</v>
      </c>
      <c r="F11" s="77">
        <f>15%*F4</f>
        <v>1875000</v>
      </c>
    </row>
    <row r="12" spans="2:6" ht="15" thickBot="1" x14ac:dyDescent="0.35">
      <c r="B12" s="73"/>
      <c r="C12" s="84"/>
      <c r="D12" s="84"/>
      <c r="E12" s="76"/>
      <c r="F12" s="79"/>
    </row>
    <row r="13" spans="2:6" x14ac:dyDescent="0.3">
      <c r="B13" s="85" t="s">
        <v>97</v>
      </c>
      <c r="C13" s="86"/>
      <c r="D13" s="86"/>
      <c r="E13" s="89">
        <f>E4+E8+E11</f>
        <v>3125000</v>
      </c>
      <c r="F13" s="91">
        <f>F4+F8+F11</f>
        <v>15625000</v>
      </c>
    </row>
    <row r="14" spans="2:6" ht="15" thickBot="1" x14ac:dyDescent="0.35">
      <c r="B14" s="87"/>
      <c r="C14" s="88"/>
      <c r="D14" s="88"/>
      <c r="E14" s="90"/>
      <c r="F14" s="92"/>
    </row>
  </sheetData>
  <mergeCells count="17">
    <mergeCell ref="B13:D14"/>
    <mergeCell ref="E13:E14"/>
    <mergeCell ref="F13:F14"/>
    <mergeCell ref="E11:E12"/>
    <mergeCell ref="F11:F12"/>
    <mergeCell ref="B11:D12"/>
    <mergeCell ref="E8:E9"/>
    <mergeCell ref="F8:F9"/>
    <mergeCell ref="B7:F7"/>
    <mergeCell ref="B10:F10"/>
    <mergeCell ref="B8:D9"/>
    <mergeCell ref="B1:F1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2445-2ACA-44C4-B4B8-AA6F03DDE9B0}">
  <dimension ref="B1:K12"/>
  <sheetViews>
    <sheetView topLeftCell="B1" zoomScale="96" zoomScaleNormal="96" workbookViewId="0">
      <selection activeCell="B1" sqref="B1:K2"/>
    </sheetView>
  </sheetViews>
  <sheetFormatPr defaultRowHeight="14.4" x14ac:dyDescent="0.3"/>
  <cols>
    <col min="2" max="2" width="15.6640625" bestFit="1" customWidth="1"/>
    <col min="3" max="3" width="66.88671875" bestFit="1" customWidth="1"/>
    <col min="4" max="4" width="14.77734375" bestFit="1" customWidth="1"/>
    <col min="5" max="5" width="20.44140625" bestFit="1" customWidth="1"/>
    <col min="6" max="6" width="15.109375" bestFit="1" customWidth="1"/>
    <col min="7" max="7" width="15.5546875" bestFit="1" customWidth="1"/>
    <col min="8" max="8" width="14.33203125" bestFit="1" customWidth="1"/>
    <col min="9" max="9" width="17.5546875" bestFit="1" customWidth="1"/>
    <col min="10" max="10" width="17.88671875" bestFit="1" customWidth="1"/>
    <col min="11" max="11" width="15.21875" bestFit="1" customWidth="1"/>
  </cols>
  <sheetData>
    <row r="1" spans="2:11" ht="14.4" customHeight="1" x14ac:dyDescent="0.3">
      <c r="B1" s="93" t="s">
        <v>126</v>
      </c>
      <c r="C1" s="94"/>
      <c r="D1" s="94"/>
      <c r="E1" s="94"/>
      <c r="F1" s="94"/>
      <c r="G1" s="94"/>
      <c r="H1" s="94"/>
      <c r="I1" s="94"/>
      <c r="J1" s="94"/>
      <c r="K1" s="95"/>
    </row>
    <row r="2" spans="2:11" ht="14.4" customHeight="1" x14ac:dyDescent="0.3">
      <c r="B2" s="96"/>
      <c r="C2" s="97"/>
      <c r="D2" s="97"/>
      <c r="E2" s="97"/>
      <c r="F2" s="97"/>
      <c r="G2" s="97"/>
      <c r="H2" s="97"/>
      <c r="I2" s="97"/>
      <c r="J2" s="97"/>
      <c r="K2" s="98"/>
    </row>
    <row r="4" spans="2:11" x14ac:dyDescent="0.3">
      <c r="B4" s="2" t="s">
        <v>0</v>
      </c>
      <c r="C4" s="1" t="s">
        <v>99</v>
      </c>
      <c r="D4" s="2" t="s">
        <v>4</v>
      </c>
      <c r="E4" s="2" t="s">
        <v>2</v>
      </c>
      <c r="F4" s="2" t="s">
        <v>3</v>
      </c>
      <c r="I4" s="2" t="s">
        <v>135</v>
      </c>
      <c r="J4" s="2" t="s">
        <v>136</v>
      </c>
    </row>
    <row r="5" spans="2:11" x14ac:dyDescent="0.3">
      <c r="B5" s="2" t="s">
        <v>1</v>
      </c>
      <c r="C5" s="1" t="s">
        <v>15</v>
      </c>
      <c r="D5" s="6">
        <v>45719</v>
      </c>
      <c r="E5" s="6">
        <v>45736</v>
      </c>
      <c r="F5" s="20">
        <f>AVERAGE(Table1[% Completed])</f>
        <v>0.8</v>
      </c>
      <c r="I5" s="1">
        <f>SUM(Table1[Story Points])</f>
        <v>18</v>
      </c>
      <c r="J5" s="1">
        <f>SUM(Table1[Duration])</f>
        <v>20</v>
      </c>
    </row>
    <row r="7" spans="2:11" x14ac:dyDescent="0.3">
      <c r="B7" s="3" t="s">
        <v>14</v>
      </c>
      <c r="C7" s="3" t="s">
        <v>5</v>
      </c>
      <c r="D7" s="3" t="s">
        <v>6</v>
      </c>
      <c r="E7" s="3" t="s">
        <v>7</v>
      </c>
      <c r="F7" s="3" t="s">
        <v>86</v>
      </c>
      <c r="G7" s="3" t="s">
        <v>4</v>
      </c>
      <c r="H7" s="3" t="s">
        <v>8</v>
      </c>
      <c r="I7" s="3" t="s">
        <v>9</v>
      </c>
      <c r="J7" s="3" t="s">
        <v>10</v>
      </c>
      <c r="K7" s="3" t="s">
        <v>80</v>
      </c>
    </row>
    <row r="8" spans="2:11" x14ac:dyDescent="0.3">
      <c r="B8" s="22">
        <v>1</v>
      </c>
      <c r="C8" s="4" t="s">
        <v>23</v>
      </c>
      <c r="D8" s="4" t="s">
        <v>72</v>
      </c>
      <c r="E8" s="4" t="s">
        <v>22</v>
      </c>
      <c r="F8" s="4">
        <v>1</v>
      </c>
      <c r="G8" s="5">
        <v>45719</v>
      </c>
      <c r="H8" s="5">
        <v>45721</v>
      </c>
      <c r="I8" s="21">
        <f>Table1[[#This Row],[Finish Date]]-Table1[[#This Row],[Start Date]]</f>
        <v>2</v>
      </c>
      <c r="J8" s="4" t="s">
        <v>13</v>
      </c>
      <c r="K8" s="36">
        <v>1</v>
      </c>
    </row>
    <row r="9" spans="2:11" x14ac:dyDescent="0.3">
      <c r="B9" s="22">
        <v>2</v>
      </c>
      <c r="C9" s="4" t="s">
        <v>16</v>
      </c>
      <c r="D9" s="4" t="s">
        <v>59</v>
      </c>
      <c r="E9" s="4" t="s">
        <v>21</v>
      </c>
      <c r="F9" s="4">
        <v>5</v>
      </c>
      <c r="G9" s="5">
        <v>45720</v>
      </c>
      <c r="H9" s="5">
        <v>45725</v>
      </c>
      <c r="I9" s="21">
        <f>Table1[[#This Row],[Finish Date]]-Table1[[#This Row],[Start Date]]</f>
        <v>5</v>
      </c>
      <c r="J9" s="4" t="s">
        <v>13</v>
      </c>
      <c r="K9" s="36">
        <v>1</v>
      </c>
    </row>
    <row r="10" spans="2:11" x14ac:dyDescent="0.3">
      <c r="B10" s="22">
        <v>3</v>
      </c>
      <c r="C10" s="4" t="s">
        <v>17</v>
      </c>
      <c r="D10" s="4" t="s">
        <v>73</v>
      </c>
      <c r="E10" s="4" t="s">
        <v>24</v>
      </c>
      <c r="F10" s="4">
        <v>2</v>
      </c>
      <c r="G10" s="5">
        <v>45724</v>
      </c>
      <c r="H10" s="5">
        <v>45726</v>
      </c>
      <c r="I10" s="21">
        <f>Table1[[#This Row],[Finish Date]]-Table1[[#This Row],[Start Date]]</f>
        <v>2</v>
      </c>
      <c r="J10" s="4" t="s">
        <v>12</v>
      </c>
      <c r="K10" s="36">
        <v>0.7</v>
      </c>
    </row>
    <row r="11" spans="2:11" x14ac:dyDescent="0.3">
      <c r="B11" s="22">
        <v>4</v>
      </c>
      <c r="C11" s="4" t="s">
        <v>19</v>
      </c>
      <c r="D11" s="4" t="s">
        <v>58</v>
      </c>
      <c r="E11" s="4" t="s">
        <v>20</v>
      </c>
      <c r="F11" s="4">
        <v>5</v>
      </c>
      <c r="G11" s="5">
        <v>45725</v>
      </c>
      <c r="H11" s="5">
        <v>45731</v>
      </c>
      <c r="I11" s="21">
        <f>Table1[[#This Row],[Finish Date]]-Table1[[#This Row],[Start Date]]</f>
        <v>6</v>
      </c>
      <c r="J11" s="4" t="s">
        <v>12</v>
      </c>
      <c r="K11" s="36">
        <v>0.7</v>
      </c>
    </row>
    <row r="12" spans="2:11" x14ac:dyDescent="0.3">
      <c r="B12" s="22">
        <v>5</v>
      </c>
      <c r="C12" s="4" t="s">
        <v>18</v>
      </c>
      <c r="D12" s="4" t="s">
        <v>60</v>
      </c>
      <c r="E12" s="4" t="s">
        <v>22</v>
      </c>
      <c r="F12" s="4">
        <v>5</v>
      </c>
      <c r="G12" s="5">
        <v>45731</v>
      </c>
      <c r="H12" s="5">
        <v>45736</v>
      </c>
      <c r="I12" s="21">
        <f>Table1[[#This Row],[Finish Date]]-Table1[[#This Row],[Start Date]]</f>
        <v>5</v>
      </c>
      <c r="J12" s="4" t="s">
        <v>31</v>
      </c>
      <c r="K12" s="36">
        <v>0.6</v>
      </c>
    </row>
  </sheetData>
  <mergeCells count="1">
    <mergeCell ref="B1:K2"/>
  </mergeCell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76BFC4-7FD3-4F9F-BAA4-2042C91C3BCE}">
          <x14:formula1>
            <xm:f>Dropdown_keys!$B$4:$B$10</xm:f>
          </x14:formula1>
          <xm:sqref>J8:J12</xm:sqref>
        </x14:dataValidation>
        <x14:dataValidation type="list" allowBlank="1" showInputMessage="1" showErrorMessage="1" xr:uid="{DD34A308-E3BF-4709-BEB6-C3DAB4411F31}">
          <x14:formula1>
            <xm:f>Dropdown_keys!$F$4:$F$14</xm:f>
          </x14:formula1>
          <xm:sqref>D8:D12</xm:sqref>
        </x14:dataValidation>
        <x14:dataValidation type="list" allowBlank="1" showInputMessage="1" showErrorMessage="1" xr:uid="{946FAC60-1E4F-4E3D-B258-7E42CA0277B7}">
          <x14:formula1>
            <xm:f>Dropdown_keys!$H$4:$H$15</xm:f>
          </x14:formula1>
          <xm:sqref>E8:E12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73F4-DBF3-4D0E-B861-30BCBFEB58DD}">
  <dimension ref="B1:K11"/>
  <sheetViews>
    <sheetView workbookViewId="0">
      <selection activeCell="B1" sqref="B1:K2"/>
    </sheetView>
  </sheetViews>
  <sheetFormatPr defaultRowHeight="14.4" x14ac:dyDescent="0.3"/>
  <cols>
    <col min="2" max="2" width="14.44140625" bestFit="1" customWidth="1"/>
    <col min="3" max="3" width="46.5546875" bestFit="1" customWidth="1"/>
    <col min="4" max="4" width="13.44140625" customWidth="1"/>
    <col min="5" max="5" width="19.109375" customWidth="1"/>
    <col min="6" max="6" width="14.5546875" bestFit="1" customWidth="1"/>
    <col min="7" max="7" width="14.21875" bestFit="1" customWidth="1"/>
    <col min="8" max="8" width="13.21875" bestFit="1" customWidth="1"/>
    <col min="9" max="9" width="16.44140625" bestFit="1" customWidth="1"/>
    <col min="10" max="10" width="16.5546875" bestFit="1" customWidth="1"/>
    <col min="11" max="11" width="14.33203125" bestFit="1" customWidth="1"/>
  </cols>
  <sheetData>
    <row r="1" spans="2:11" ht="14.4" customHeight="1" x14ac:dyDescent="0.3">
      <c r="B1" s="93" t="s">
        <v>125</v>
      </c>
      <c r="C1" s="94"/>
      <c r="D1" s="94"/>
      <c r="E1" s="94"/>
      <c r="F1" s="94"/>
      <c r="G1" s="94"/>
      <c r="H1" s="94"/>
      <c r="I1" s="94"/>
      <c r="J1" s="94"/>
      <c r="K1" s="95"/>
    </row>
    <row r="2" spans="2:11" ht="14.4" customHeight="1" x14ac:dyDescent="0.3">
      <c r="B2" s="96"/>
      <c r="C2" s="97"/>
      <c r="D2" s="97"/>
      <c r="E2" s="97"/>
      <c r="F2" s="97"/>
      <c r="G2" s="97"/>
      <c r="H2" s="97"/>
      <c r="I2" s="97"/>
      <c r="J2" s="97"/>
      <c r="K2" s="98"/>
    </row>
    <row r="4" spans="2:11" x14ac:dyDescent="0.3">
      <c r="B4" s="2" t="s">
        <v>0</v>
      </c>
      <c r="C4" s="1" t="s">
        <v>99</v>
      </c>
      <c r="D4" s="2" t="s">
        <v>4</v>
      </c>
      <c r="E4" s="2" t="s">
        <v>2</v>
      </c>
      <c r="F4" s="2" t="s">
        <v>3</v>
      </c>
      <c r="I4" s="2" t="s">
        <v>135</v>
      </c>
      <c r="J4" s="2" t="s">
        <v>136</v>
      </c>
    </row>
    <row r="5" spans="2:11" x14ac:dyDescent="0.3">
      <c r="B5" s="2" t="s">
        <v>1</v>
      </c>
      <c r="C5" s="1" t="s">
        <v>15</v>
      </c>
      <c r="D5" s="6">
        <v>45719</v>
      </c>
      <c r="E5" s="6">
        <v>45755</v>
      </c>
      <c r="F5" s="20">
        <f>AVERAGE(Table13[% Completed])</f>
        <v>0.67500000000000004</v>
      </c>
      <c r="I5" s="1">
        <f>SUM(Table13[Story Points])</f>
        <v>21</v>
      </c>
      <c r="J5" s="1">
        <f>SUM(Table13[Duration])</f>
        <v>19</v>
      </c>
    </row>
    <row r="7" spans="2:11" x14ac:dyDescent="0.3">
      <c r="B7" s="3" t="s">
        <v>14</v>
      </c>
      <c r="C7" s="3" t="s">
        <v>5</v>
      </c>
      <c r="D7" s="3" t="s">
        <v>6</v>
      </c>
      <c r="E7" s="3" t="s">
        <v>7</v>
      </c>
      <c r="F7" s="3" t="s">
        <v>86</v>
      </c>
      <c r="G7" s="3" t="s">
        <v>4</v>
      </c>
      <c r="H7" s="3" t="s">
        <v>8</v>
      </c>
      <c r="I7" s="3" t="s">
        <v>9</v>
      </c>
      <c r="J7" s="3" t="s">
        <v>10</v>
      </c>
      <c r="K7" s="3" t="s">
        <v>80</v>
      </c>
    </row>
    <row r="8" spans="2:11" x14ac:dyDescent="0.3">
      <c r="B8" s="22">
        <v>4</v>
      </c>
      <c r="C8" s="4" t="s">
        <v>19</v>
      </c>
      <c r="D8" s="4" t="s">
        <v>58</v>
      </c>
      <c r="E8" s="4" t="s">
        <v>20</v>
      </c>
      <c r="F8" s="4">
        <v>3</v>
      </c>
      <c r="G8" s="5">
        <v>45733</v>
      </c>
      <c r="H8" s="5">
        <v>45736</v>
      </c>
      <c r="I8" s="21">
        <f>Table13[[#This Row],[Finish Date]]-Table13[[#This Row],[Start Date]]</f>
        <v>3</v>
      </c>
      <c r="J8" s="4" t="s">
        <v>12</v>
      </c>
      <c r="K8" s="36">
        <v>0.7</v>
      </c>
    </row>
    <row r="9" spans="2:11" x14ac:dyDescent="0.3">
      <c r="B9" s="22">
        <v>6</v>
      </c>
      <c r="C9" s="19" t="s">
        <v>69</v>
      </c>
      <c r="D9" s="4" t="s">
        <v>57</v>
      </c>
      <c r="E9" s="19" t="s">
        <v>49</v>
      </c>
      <c r="F9" s="45">
        <v>5</v>
      </c>
      <c r="G9" s="5">
        <v>45733</v>
      </c>
      <c r="H9" s="5">
        <v>45739</v>
      </c>
      <c r="I9" s="21">
        <f>Table13[[#This Row],[Finish Date]]-Table13[[#This Row],[Start Date]]</f>
        <v>6</v>
      </c>
      <c r="J9" s="4" t="s">
        <v>12</v>
      </c>
      <c r="K9" s="36">
        <v>0.7</v>
      </c>
    </row>
    <row r="10" spans="2:11" x14ac:dyDescent="0.3">
      <c r="B10" s="22">
        <v>7</v>
      </c>
      <c r="C10" s="4" t="s">
        <v>18</v>
      </c>
      <c r="D10" s="4" t="s">
        <v>60</v>
      </c>
      <c r="E10" s="4" t="s">
        <v>22</v>
      </c>
      <c r="F10" s="4">
        <v>5</v>
      </c>
      <c r="G10" s="5">
        <v>45736</v>
      </c>
      <c r="H10" s="5">
        <v>45738</v>
      </c>
      <c r="I10" s="21">
        <f>Table13[[#This Row],[Finish Date]]-Table13[[#This Row],[Start Date]]</f>
        <v>2</v>
      </c>
      <c r="J10" s="4" t="s">
        <v>31</v>
      </c>
      <c r="K10" s="36">
        <v>0.6</v>
      </c>
    </row>
    <row r="11" spans="2:11" x14ac:dyDescent="0.3">
      <c r="B11" s="22">
        <v>8</v>
      </c>
      <c r="C11" s="19" t="s">
        <v>70</v>
      </c>
      <c r="D11" s="4" t="s">
        <v>58</v>
      </c>
      <c r="E11" s="19" t="s">
        <v>20</v>
      </c>
      <c r="F11" s="45">
        <v>8</v>
      </c>
      <c r="G11" s="5">
        <v>45744</v>
      </c>
      <c r="H11" s="5">
        <v>45752</v>
      </c>
      <c r="I11" s="21">
        <f>Table13[[#This Row],[Finish Date]]-Table13[[#This Row],[Start Date]]</f>
        <v>8</v>
      </c>
      <c r="J11" s="4" t="s">
        <v>12</v>
      </c>
      <c r="K11" s="36">
        <v>0.7</v>
      </c>
    </row>
  </sheetData>
  <mergeCells count="1">
    <mergeCell ref="B1:K2"/>
  </mergeCells>
  <phoneticPr fontId="11" type="noConversion"/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FBCF328-876D-47CC-8720-192DB7C29EF5}">
          <x14:formula1>
            <xm:f>Dropdown_keys!$F$4:$F$14</xm:f>
          </x14:formula1>
          <xm:sqref>D8:D11</xm:sqref>
        </x14:dataValidation>
        <x14:dataValidation type="list" allowBlank="1" showInputMessage="1" showErrorMessage="1" xr:uid="{9C1DDD3E-AD64-42C4-B9DF-1C937123BD5F}">
          <x14:formula1>
            <xm:f>Dropdown_keys!$B$4:$B$10</xm:f>
          </x14:formula1>
          <xm:sqref>J8 J10</xm:sqref>
        </x14:dataValidation>
        <x14:dataValidation type="list" allowBlank="1" showInputMessage="1" showErrorMessage="1" xr:uid="{CA20A931-0EF4-497A-8131-EC1F93A8F295}">
          <x14:formula1>
            <xm:f>Dropdown_keys!$B$4:$B$6</xm:f>
          </x14:formula1>
          <xm:sqref>J9 J11</xm:sqref>
        </x14:dataValidation>
        <x14:dataValidation type="list" allowBlank="1" showInputMessage="1" showErrorMessage="1" xr:uid="{97CAE137-2E7B-44EB-8014-80DBB1B7B14E}">
          <x14:formula1>
            <xm:f>Dropdown_keys!$H$4:$H$15</xm:f>
          </x14:formula1>
          <xm:sqref>E8:E11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CD70-14C8-432E-BE49-80C4D1D5B68F}">
  <dimension ref="B1:K11"/>
  <sheetViews>
    <sheetView workbookViewId="0">
      <selection activeCell="B1" sqref="B1:K2"/>
    </sheetView>
  </sheetViews>
  <sheetFormatPr defaultRowHeight="14.4" x14ac:dyDescent="0.3"/>
  <cols>
    <col min="2" max="2" width="14.44140625" bestFit="1" customWidth="1"/>
    <col min="3" max="3" width="51.44140625" bestFit="1" customWidth="1"/>
    <col min="4" max="4" width="13.44140625" customWidth="1"/>
    <col min="5" max="5" width="19.6640625" bestFit="1" customWidth="1"/>
    <col min="6" max="6" width="14.5546875" bestFit="1" customWidth="1"/>
    <col min="7" max="7" width="14.21875" bestFit="1" customWidth="1"/>
    <col min="8" max="8" width="13.21875" bestFit="1" customWidth="1"/>
    <col min="9" max="9" width="16.44140625" bestFit="1" customWidth="1"/>
    <col min="10" max="10" width="16.5546875" bestFit="1" customWidth="1"/>
    <col min="11" max="11" width="14.33203125" bestFit="1" customWidth="1"/>
  </cols>
  <sheetData>
    <row r="1" spans="2:11" ht="14.4" customHeight="1" x14ac:dyDescent="0.3">
      <c r="B1" s="93" t="s">
        <v>81</v>
      </c>
      <c r="C1" s="94"/>
      <c r="D1" s="94"/>
      <c r="E1" s="94"/>
      <c r="F1" s="94"/>
      <c r="G1" s="94"/>
      <c r="H1" s="94"/>
      <c r="I1" s="94"/>
      <c r="J1" s="94"/>
      <c r="K1" s="95"/>
    </row>
    <row r="2" spans="2:11" ht="14.4" customHeight="1" x14ac:dyDescent="0.3">
      <c r="B2" s="96"/>
      <c r="C2" s="97"/>
      <c r="D2" s="97"/>
      <c r="E2" s="97"/>
      <c r="F2" s="97"/>
      <c r="G2" s="97"/>
      <c r="H2" s="97"/>
      <c r="I2" s="97"/>
      <c r="J2" s="97"/>
      <c r="K2" s="98"/>
    </row>
    <row r="4" spans="2:11" x14ac:dyDescent="0.3">
      <c r="B4" s="2" t="s">
        <v>0</v>
      </c>
      <c r="C4" s="1" t="s">
        <v>99</v>
      </c>
      <c r="D4" s="2" t="s">
        <v>4</v>
      </c>
      <c r="E4" s="2" t="s">
        <v>2</v>
      </c>
      <c r="F4" s="2" t="s">
        <v>3</v>
      </c>
      <c r="I4" s="2" t="s">
        <v>135</v>
      </c>
      <c r="J4" s="2" t="s">
        <v>136</v>
      </c>
    </row>
    <row r="5" spans="2:11" x14ac:dyDescent="0.3">
      <c r="B5" s="2" t="s">
        <v>1</v>
      </c>
      <c r="C5" s="1" t="s">
        <v>15</v>
      </c>
      <c r="D5" s="6">
        <v>45719</v>
      </c>
      <c r="E5" s="6">
        <v>45767</v>
      </c>
      <c r="F5" s="20">
        <f>AVERAGE(Table14[% Completed])</f>
        <v>0.55000000000000004</v>
      </c>
      <c r="I5" s="1">
        <f>SUM(Table14[Story Points])</f>
        <v>21</v>
      </c>
      <c r="J5" s="1">
        <f>SUM(Table14[Duration])</f>
        <v>28</v>
      </c>
    </row>
    <row r="7" spans="2:11" x14ac:dyDescent="0.3">
      <c r="B7" s="3" t="s">
        <v>14</v>
      </c>
      <c r="C7" s="3" t="s">
        <v>5</v>
      </c>
      <c r="D7" s="3" t="s">
        <v>6</v>
      </c>
      <c r="E7" s="3" t="s">
        <v>7</v>
      </c>
      <c r="F7" s="3" t="s">
        <v>86</v>
      </c>
      <c r="G7" s="3" t="s">
        <v>4</v>
      </c>
      <c r="H7" s="3" t="s">
        <v>8</v>
      </c>
      <c r="I7" s="3" t="s">
        <v>9</v>
      </c>
      <c r="J7" s="3" t="s">
        <v>10</v>
      </c>
      <c r="K7" s="3" t="s">
        <v>80</v>
      </c>
    </row>
    <row r="8" spans="2:11" x14ac:dyDescent="0.3">
      <c r="B8" s="22">
        <v>9</v>
      </c>
      <c r="C8" s="19" t="s">
        <v>39</v>
      </c>
      <c r="D8" s="4" t="s">
        <v>58</v>
      </c>
      <c r="E8" s="4" t="s">
        <v>24</v>
      </c>
      <c r="F8" s="4">
        <v>5</v>
      </c>
      <c r="G8" s="5">
        <v>45747</v>
      </c>
      <c r="H8" s="5">
        <v>45752</v>
      </c>
      <c r="I8" s="21">
        <f>Table14[[#This Row],[Finish Date]]-Table14[[#This Row],[Start Date]]</f>
        <v>5</v>
      </c>
      <c r="J8" s="4" t="s">
        <v>12</v>
      </c>
      <c r="K8" s="36">
        <v>0.7</v>
      </c>
    </row>
    <row r="9" spans="2:11" x14ac:dyDescent="0.3">
      <c r="B9" s="22">
        <v>10</v>
      </c>
      <c r="C9" s="19" t="s">
        <v>67</v>
      </c>
      <c r="D9" s="4" t="s">
        <v>58</v>
      </c>
      <c r="E9" s="4" t="s">
        <v>20</v>
      </c>
      <c r="F9" s="4">
        <v>3</v>
      </c>
      <c r="G9" s="5">
        <v>45754</v>
      </c>
      <c r="H9" s="5">
        <v>45758</v>
      </c>
      <c r="I9" s="21">
        <f>Table14[[#This Row],[Finish Date]]-Table14[[#This Row],[Start Date]]</f>
        <v>4</v>
      </c>
      <c r="J9" s="4" t="s">
        <v>11</v>
      </c>
      <c r="K9" s="36">
        <v>0.1</v>
      </c>
    </row>
    <row r="10" spans="2:11" x14ac:dyDescent="0.3">
      <c r="B10" s="22">
        <v>8</v>
      </c>
      <c r="C10" s="19" t="s">
        <v>70</v>
      </c>
      <c r="D10" s="4" t="s">
        <v>58</v>
      </c>
      <c r="E10" s="19" t="s">
        <v>20</v>
      </c>
      <c r="F10" s="45">
        <v>5</v>
      </c>
      <c r="G10" s="5">
        <v>45744</v>
      </c>
      <c r="H10" s="5">
        <v>45755</v>
      </c>
      <c r="I10" s="21">
        <f>Table14[[#This Row],[Finish Date]]-Table14[[#This Row],[Start Date]]</f>
        <v>11</v>
      </c>
      <c r="J10" s="4" t="s">
        <v>12</v>
      </c>
      <c r="K10" s="36">
        <v>0.7</v>
      </c>
    </row>
    <row r="11" spans="2:11" x14ac:dyDescent="0.3">
      <c r="B11" s="22">
        <v>11</v>
      </c>
      <c r="C11" s="19" t="s">
        <v>68</v>
      </c>
      <c r="D11" s="4" t="s">
        <v>74</v>
      </c>
      <c r="E11" s="4" t="s">
        <v>24</v>
      </c>
      <c r="F11" s="4">
        <v>8</v>
      </c>
      <c r="G11" s="5">
        <v>45759</v>
      </c>
      <c r="H11" s="5">
        <v>45767</v>
      </c>
      <c r="I11" s="21">
        <f>Table14[[#This Row],[Finish Date]]-Table14[[#This Row],[Start Date]]</f>
        <v>8</v>
      </c>
      <c r="J11" s="4" t="s">
        <v>12</v>
      </c>
      <c r="K11" s="36">
        <v>0.7</v>
      </c>
    </row>
  </sheetData>
  <mergeCells count="1">
    <mergeCell ref="B1:K2"/>
  </mergeCell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EFE6698-4974-4206-8DC5-A0BF87CE908A}">
          <x14:formula1>
            <xm:f>Dropdown_keys!$F$4:$F$15</xm:f>
          </x14:formula1>
          <xm:sqref>D8:D9 D11</xm:sqref>
        </x14:dataValidation>
        <x14:dataValidation type="list" allowBlank="1" showInputMessage="1" showErrorMessage="1" xr:uid="{E4581591-3A79-4EBC-8333-2224DAE5AF9B}">
          <x14:formula1>
            <xm:f>Dropdown_keys!$F$4:$F$14</xm:f>
          </x14:formula1>
          <xm:sqref>D10</xm:sqref>
        </x14:dataValidation>
        <x14:dataValidation type="list" allowBlank="1" showInputMessage="1" showErrorMessage="1" xr:uid="{E4E5C66E-77EB-45DE-8930-07E3FA2C17C1}">
          <x14:formula1>
            <xm:f>Dropdown_keys!$B$4:$B$6</xm:f>
          </x14:formula1>
          <xm:sqref>J8:J11</xm:sqref>
        </x14:dataValidation>
        <x14:dataValidation type="list" allowBlank="1" showInputMessage="1" showErrorMessage="1" xr:uid="{23724E2A-E913-4F01-A419-6FE122CC4D20}">
          <x14:formula1>
            <xm:f>Dropdown_keys!$H$4:$H$15</xm:f>
          </x14:formula1>
          <xm:sqref>E8:E11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A40D-7FB1-4C14-8CC6-EF375509CDEE}">
  <dimension ref="B1:K11"/>
  <sheetViews>
    <sheetView workbookViewId="0">
      <selection activeCell="B1" sqref="B1:K2"/>
    </sheetView>
  </sheetViews>
  <sheetFormatPr defaultRowHeight="14.4" x14ac:dyDescent="0.3"/>
  <cols>
    <col min="2" max="2" width="14.44140625" bestFit="1" customWidth="1"/>
    <col min="3" max="3" width="63.6640625" bestFit="1" customWidth="1"/>
    <col min="4" max="4" width="13.44140625" customWidth="1"/>
    <col min="5" max="5" width="19.109375" customWidth="1"/>
    <col min="6" max="6" width="14.5546875" bestFit="1" customWidth="1"/>
    <col min="7" max="7" width="14.21875" bestFit="1" customWidth="1"/>
    <col min="8" max="8" width="13.21875" bestFit="1" customWidth="1"/>
    <col min="9" max="9" width="10.5546875" bestFit="1" customWidth="1"/>
    <col min="10" max="10" width="12.44140625" bestFit="1" customWidth="1"/>
    <col min="11" max="11" width="14.33203125" bestFit="1" customWidth="1"/>
  </cols>
  <sheetData>
    <row r="1" spans="2:11" ht="14.4" customHeight="1" x14ac:dyDescent="0.3">
      <c r="B1" s="93" t="s">
        <v>127</v>
      </c>
      <c r="C1" s="94"/>
      <c r="D1" s="94"/>
      <c r="E1" s="94"/>
      <c r="F1" s="94"/>
      <c r="G1" s="94"/>
      <c r="H1" s="94"/>
      <c r="I1" s="94"/>
      <c r="J1" s="94"/>
      <c r="K1" s="95"/>
    </row>
    <row r="2" spans="2:11" ht="14.4" customHeight="1" x14ac:dyDescent="0.3">
      <c r="B2" s="96"/>
      <c r="C2" s="97"/>
      <c r="D2" s="97"/>
      <c r="E2" s="97"/>
      <c r="F2" s="97"/>
      <c r="G2" s="97"/>
      <c r="H2" s="97"/>
      <c r="I2" s="97"/>
      <c r="J2" s="97"/>
      <c r="K2" s="98"/>
    </row>
    <row r="4" spans="2:11" x14ac:dyDescent="0.3">
      <c r="B4" s="2" t="s">
        <v>0</v>
      </c>
      <c r="C4" s="1" t="s">
        <v>99</v>
      </c>
      <c r="D4" s="2" t="s">
        <v>4</v>
      </c>
      <c r="E4" s="2" t="s">
        <v>2</v>
      </c>
      <c r="F4" s="2" t="s">
        <v>3</v>
      </c>
      <c r="I4" s="2" t="s">
        <v>135</v>
      </c>
      <c r="J4" s="2" t="s">
        <v>136</v>
      </c>
    </row>
    <row r="5" spans="2:11" x14ac:dyDescent="0.3">
      <c r="B5" s="2" t="s">
        <v>1</v>
      </c>
      <c r="C5" s="1" t="s">
        <v>15</v>
      </c>
      <c r="D5" s="6">
        <v>45719</v>
      </c>
      <c r="E5" s="6">
        <v>45778</v>
      </c>
      <c r="F5" s="37">
        <f>AVERAGE(Table15[% Completed])</f>
        <v>0.77500000000000002</v>
      </c>
      <c r="I5" s="1">
        <f>SUM(Table15[Story Points])</f>
        <v>24</v>
      </c>
      <c r="J5" s="1">
        <f>SUM(Table15[Duration])</f>
        <v>26</v>
      </c>
    </row>
    <row r="7" spans="2:11" x14ac:dyDescent="0.3">
      <c r="B7" s="3" t="s">
        <v>14</v>
      </c>
      <c r="C7" s="3" t="s">
        <v>5</v>
      </c>
      <c r="D7" s="3" t="s">
        <v>6</v>
      </c>
      <c r="E7" s="3" t="s">
        <v>7</v>
      </c>
      <c r="F7" s="3" t="s">
        <v>86</v>
      </c>
      <c r="G7" s="3" t="s">
        <v>4</v>
      </c>
      <c r="H7" s="3" t="s">
        <v>8</v>
      </c>
      <c r="I7" s="3" t="s">
        <v>9</v>
      </c>
      <c r="J7" s="3" t="s">
        <v>10</v>
      </c>
      <c r="K7" s="3" t="s">
        <v>80</v>
      </c>
    </row>
    <row r="8" spans="2:11" x14ac:dyDescent="0.3">
      <c r="B8" s="22">
        <v>12</v>
      </c>
      <c r="C8" s="19" t="s">
        <v>64</v>
      </c>
      <c r="D8" s="4" t="s">
        <v>58</v>
      </c>
      <c r="E8" s="4" t="s">
        <v>24</v>
      </c>
      <c r="F8" s="4">
        <v>5</v>
      </c>
      <c r="G8" s="5">
        <v>45761</v>
      </c>
      <c r="H8" s="5">
        <v>45767</v>
      </c>
      <c r="I8" s="19">
        <f>Table15[[#This Row],[Finish Date]]-Table15[[#This Row],[Start Date]]</f>
        <v>6</v>
      </c>
      <c r="J8" s="19" t="s">
        <v>13</v>
      </c>
      <c r="K8" s="36">
        <v>1</v>
      </c>
    </row>
    <row r="9" spans="2:11" x14ac:dyDescent="0.3">
      <c r="B9" s="22">
        <v>11</v>
      </c>
      <c r="C9" s="19" t="s">
        <v>68</v>
      </c>
      <c r="D9" s="4" t="s">
        <v>74</v>
      </c>
      <c r="E9" s="4" t="s">
        <v>24</v>
      </c>
      <c r="F9" s="4">
        <v>8</v>
      </c>
      <c r="G9" s="5">
        <v>45762</v>
      </c>
      <c r="H9" s="5">
        <v>45768</v>
      </c>
      <c r="I9" s="19">
        <f>Table15[[#This Row],[Finish Date]]-Table15[[#This Row],[Start Date]]</f>
        <v>6</v>
      </c>
      <c r="J9" s="4" t="s">
        <v>12</v>
      </c>
      <c r="K9" s="36">
        <v>0.7</v>
      </c>
    </row>
    <row r="10" spans="2:11" x14ac:dyDescent="0.3">
      <c r="B10" s="22">
        <v>13</v>
      </c>
      <c r="C10" s="19" t="s">
        <v>65</v>
      </c>
      <c r="D10" s="4" t="s">
        <v>58</v>
      </c>
      <c r="E10" s="4" t="s">
        <v>20</v>
      </c>
      <c r="F10" s="4">
        <v>8</v>
      </c>
      <c r="G10" s="5">
        <v>45769</v>
      </c>
      <c r="H10" s="5">
        <v>45780</v>
      </c>
      <c r="I10" s="19">
        <f>Table15[[#This Row],[Finish Date]]-Table15[[#This Row],[Start Date]]</f>
        <v>11</v>
      </c>
      <c r="J10" s="19" t="s">
        <v>30</v>
      </c>
      <c r="K10" s="36">
        <v>0.8</v>
      </c>
    </row>
    <row r="11" spans="2:11" x14ac:dyDescent="0.3">
      <c r="B11" s="22">
        <v>14</v>
      </c>
      <c r="C11" s="19" t="s">
        <v>66</v>
      </c>
      <c r="D11" s="4" t="s">
        <v>74</v>
      </c>
      <c r="E11" s="4" t="s">
        <v>50</v>
      </c>
      <c r="F11" s="4">
        <v>3</v>
      </c>
      <c r="G11" s="5">
        <v>45775</v>
      </c>
      <c r="H11" s="5">
        <v>45778</v>
      </c>
      <c r="I11" s="19">
        <f>Table15[[#This Row],[Finish Date]]-Table15[[#This Row],[Start Date]]</f>
        <v>3</v>
      </c>
      <c r="J11" s="19" t="s">
        <v>31</v>
      </c>
      <c r="K11" s="36">
        <v>0.6</v>
      </c>
    </row>
  </sheetData>
  <mergeCells count="1">
    <mergeCell ref="B1:K2"/>
  </mergeCell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F0202AB-3F99-4E41-8499-2321DB84C432}">
          <x14:formula1>
            <xm:f>Dropdown_keys!$F$4:$F$15</xm:f>
          </x14:formula1>
          <xm:sqref>D8:D11</xm:sqref>
        </x14:dataValidation>
        <x14:dataValidation type="list" allowBlank="1" showInputMessage="1" showErrorMessage="1" xr:uid="{FD4B0603-A047-4EB9-9671-267DAEC6EDF2}">
          <x14:formula1>
            <xm:f>Dropdown_keys!$B$4:$B$10</xm:f>
          </x14:formula1>
          <xm:sqref>J8 J10:J11</xm:sqref>
        </x14:dataValidation>
        <x14:dataValidation type="list" allowBlank="1" showInputMessage="1" showErrorMessage="1" xr:uid="{BDE4E00C-F247-4DA6-8A8C-62B7CE766358}">
          <x14:formula1>
            <xm:f>Dropdown_keys!$B$4:$B$6</xm:f>
          </x14:formula1>
          <xm:sqref>J9</xm:sqref>
        </x14:dataValidation>
        <x14:dataValidation type="list" allowBlank="1" showInputMessage="1" showErrorMessage="1" xr:uid="{FFD53D8C-1576-4AE7-8E0E-104D585D7DAE}">
          <x14:formula1>
            <xm:f>Dropdown_keys!$H$4:$H$15</xm:f>
          </x14:formula1>
          <xm:sqref>E8:E11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D911-ED06-447C-924C-282B3164D278}">
  <dimension ref="B1:K10"/>
  <sheetViews>
    <sheetView workbookViewId="0">
      <selection activeCell="B1" sqref="B1:K2"/>
    </sheetView>
  </sheetViews>
  <sheetFormatPr defaultRowHeight="14.4" x14ac:dyDescent="0.3"/>
  <cols>
    <col min="2" max="2" width="14.44140625" bestFit="1" customWidth="1"/>
    <col min="3" max="3" width="38" bestFit="1" customWidth="1"/>
    <col min="4" max="4" width="13.44140625" customWidth="1"/>
    <col min="5" max="5" width="19.109375" customWidth="1"/>
    <col min="6" max="6" width="14.5546875" bestFit="1" customWidth="1"/>
    <col min="7" max="7" width="14.21875" bestFit="1" customWidth="1"/>
    <col min="8" max="8" width="13.21875" bestFit="1" customWidth="1"/>
    <col min="9" max="9" width="16.44140625" bestFit="1" customWidth="1"/>
    <col min="10" max="10" width="16.5546875" bestFit="1" customWidth="1"/>
    <col min="11" max="11" width="14.33203125" bestFit="1" customWidth="1"/>
  </cols>
  <sheetData>
    <row r="1" spans="2:11" ht="14.4" customHeight="1" x14ac:dyDescent="0.3">
      <c r="B1" s="93" t="s">
        <v>128</v>
      </c>
      <c r="C1" s="94"/>
      <c r="D1" s="94"/>
      <c r="E1" s="94"/>
      <c r="F1" s="94"/>
      <c r="G1" s="94"/>
      <c r="H1" s="94"/>
      <c r="I1" s="94"/>
      <c r="J1" s="94"/>
      <c r="K1" s="95"/>
    </row>
    <row r="2" spans="2:11" ht="14.4" customHeight="1" x14ac:dyDescent="0.3">
      <c r="B2" s="96"/>
      <c r="C2" s="97"/>
      <c r="D2" s="97"/>
      <c r="E2" s="97"/>
      <c r="F2" s="97"/>
      <c r="G2" s="97"/>
      <c r="H2" s="97"/>
      <c r="I2" s="97"/>
      <c r="J2" s="97"/>
      <c r="K2" s="98"/>
    </row>
    <row r="4" spans="2:11" x14ac:dyDescent="0.3">
      <c r="B4" s="2" t="s">
        <v>0</v>
      </c>
      <c r="C4" s="1" t="s">
        <v>99</v>
      </c>
      <c r="D4" s="2" t="s">
        <v>4</v>
      </c>
      <c r="E4" s="2" t="s">
        <v>2</v>
      </c>
      <c r="F4" s="2" t="s">
        <v>3</v>
      </c>
      <c r="I4" s="2" t="s">
        <v>135</v>
      </c>
      <c r="J4" s="2" t="s">
        <v>136</v>
      </c>
    </row>
    <row r="5" spans="2:11" x14ac:dyDescent="0.3">
      <c r="B5" s="2" t="s">
        <v>1</v>
      </c>
      <c r="C5" s="1" t="s">
        <v>15</v>
      </c>
      <c r="D5" s="6">
        <v>45719</v>
      </c>
      <c r="E5" s="6">
        <v>45964</v>
      </c>
      <c r="F5" s="38">
        <f>AVERAGE(Table16[% Completed])</f>
        <v>0.5</v>
      </c>
      <c r="I5" s="1">
        <f>SUM(Table16[Story Points])</f>
        <v>18</v>
      </c>
      <c r="J5" s="1">
        <f>SUM(Table16[Duration])</f>
        <v>22</v>
      </c>
    </row>
    <row r="7" spans="2:11" x14ac:dyDescent="0.3">
      <c r="B7" s="3" t="s">
        <v>14</v>
      </c>
      <c r="C7" s="3" t="s">
        <v>5</v>
      </c>
      <c r="D7" s="3" t="s">
        <v>6</v>
      </c>
      <c r="E7" s="3" t="s">
        <v>7</v>
      </c>
      <c r="F7" s="3" t="s">
        <v>86</v>
      </c>
      <c r="G7" s="3" t="s">
        <v>4</v>
      </c>
      <c r="H7" s="3" t="s">
        <v>8</v>
      </c>
      <c r="I7" s="3" t="s">
        <v>9</v>
      </c>
      <c r="J7" s="3" t="s">
        <v>10</v>
      </c>
      <c r="K7" s="3" t="s">
        <v>80</v>
      </c>
    </row>
    <row r="8" spans="2:11" x14ac:dyDescent="0.3">
      <c r="B8" s="22">
        <v>15</v>
      </c>
      <c r="C8" s="19" t="s">
        <v>40</v>
      </c>
      <c r="D8" s="4" t="s">
        <v>58</v>
      </c>
      <c r="E8" s="4" t="s">
        <v>25</v>
      </c>
      <c r="F8" s="4">
        <v>5</v>
      </c>
      <c r="G8" s="5">
        <v>45776</v>
      </c>
      <c r="H8" s="5">
        <v>45781</v>
      </c>
      <c r="I8" s="19">
        <f>Table16[[#This Row],[Finish Date]]-Table16[[#This Row],[Start Date]]</f>
        <v>5</v>
      </c>
      <c r="J8" s="4" t="s">
        <v>11</v>
      </c>
      <c r="K8" s="36">
        <v>0.1</v>
      </c>
    </row>
    <row r="9" spans="2:11" x14ac:dyDescent="0.3">
      <c r="B9" s="22">
        <v>16</v>
      </c>
      <c r="C9" s="19" t="s">
        <v>41</v>
      </c>
      <c r="D9" s="4" t="s">
        <v>74</v>
      </c>
      <c r="E9" s="4" t="s">
        <v>51</v>
      </c>
      <c r="F9" s="4">
        <v>5</v>
      </c>
      <c r="G9" s="5">
        <v>45782</v>
      </c>
      <c r="H9" s="5">
        <v>45789</v>
      </c>
      <c r="I9" s="19">
        <f>Table16[[#This Row],[Finish Date]]-Table16[[#This Row],[Start Date]]</f>
        <v>7</v>
      </c>
      <c r="J9" s="4" t="s">
        <v>12</v>
      </c>
      <c r="K9" s="36">
        <v>0.7</v>
      </c>
    </row>
    <row r="10" spans="2:11" x14ac:dyDescent="0.3">
      <c r="B10" s="22">
        <v>17</v>
      </c>
      <c r="C10" s="19" t="s">
        <v>42</v>
      </c>
      <c r="D10" s="4" t="s">
        <v>75</v>
      </c>
      <c r="E10" s="4" t="s">
        <v>51</v>
      </c>
      <c r="F10" s="4">
        <v>8</v>
      </c>
      <c r="G10" s="5">
        <v>45790</v>
      </c>
      <c r="H10" s="5">
        <v>45800</v>
      </c>
      <c r="I10" s="19">
        <f>Table16[[#This Row],[Finish Date]]-Table16[[#This Row],[Start Date]]</f>
        <v>10</v>
      </c>
      <c r="J10" s="4" t="s">
        <v>12</v>
      </c>
      <c r="K10" s="36">
        <v>0.7</v>
      </c>
    </row>
  </sheetData>
  <mergeCells count="1">
    <mergeCell ref="B1:K2"/>
  </mergeCell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77F08A1-9453-4A63-AE98-BAF80EFA1B19}">
          <x14:formula1>
            <xm:f>Dropdown_keys!$B$4:$B$10</xm:f>
          </x14:formula1>
          <xm:sqref>J8:J10</xm:sqref>
        </x14:dataValidation>
        <x14:dataValidation type="list" allowBlank="1" showInputMessage="1" showErrorMessage="1" xr:uid="{374E49DD-A741-473A-88AD-DECAAD6C6B72}">
          <x14:formula1>
            <xm:f>Dropdown_keys!$F$4:$F$15</xm:f>
          </x14:formula1>
          <xm:sqref>D8:D10</xm:sqref>
        </x14:dataValidation>
        <x14:dataValidation type="list" allowBlank="1" showInputMessage="1" showErrorMessage="1" xr:uid="{322D3FB0-FF9C-491C-817B-E7BA879AC1FB}">
          <x14:formula1>
            <xm:f>Dropdown_keys!$H$4:$H$15</xm:f>
          </x14:formula1>
          <xm:sqref>E8:E10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CA20-0606-4C80-815C-AD72A98685F2}">
  <dimension ref="B1:K10"/>
  <sheetViews>
    <sheetView workbookViewId="0">
      <selection activeCell="B1" sqref="B1:K2"/>
    </sheetView>
  </sheetViews>
  <sheetFormatPr defaultRowHeight="14.4" x14ac:dyDescent="0.3"/>
  <cols>
    <col min="2" max="2" width="14.44140625" bestFit="1" customWidth="1"/>
    <col min="3" max="3" width="35.44140625" bestFit="1" customWidth="1"/>
    <col min="4" max="4" width="13.44140625" customWidth="1"/>
    <col min="5" max="5" width="19.109375" customWidth="1"/>
    <col min="6" max="6" width="14.5546875" bestFit="1" customWidth="1"/>
    <col min="7" max="7" width="14.21875" bestFit="1" customWidth="1"/>
    <col min="8" max="8" width="13.21875" bestFit="1" customWidth="1"/>
    <col min="9" max="9" width="16.88671875" bestFit="1" customWidth="1"/>
    <col min="10" max="10" width="16.5546875" bestFit="1" customWidth="1"/>
    <col min="11" max="11" width="14.33203125" bestFit="1" customWidth="1"/>
  </cols>
  <sheetData>
    <row r="1" spans="2:11" ht="14.4" customHeight="1" x14ac:dyDescent="0.3">
      <c r="B1" s="93" t="s">
        <v>129</v>
      </c>
      <c r="C1" s="94"/>
      <c r="D1" s="94"/>
      <c r="E1" s="94"/>
      <c r="F1" s="94"/>
      <c r="G1" s="94"/>
      <c r="H1" s="94"/>
      <c r="I1" s="94"/>
      <c r="J1" s="94"/>
      <c r="K1" s="95"/>
    </row>
    <row r="2" spans="2:11" ht="14.4" customHeight="1" x14ac:dyDescent="0.3">
      <c r="B2" s="96"/>
      <c r="C2" s="97"/>
      <c r="D2" s="97"/>
      <c r="E2" s="97"/>
      <c r="F2" s="97"/>
      <c r="G2" s="97"/>
      <c r="H2" s="97"/>
      <c r="I2" s="97"/>
      <c r="J2" s="97"/>
      <c r="K2" s="98"/>
    </row>
    <row r="4" spans="2:11" x14ac:dyDescent="0.3">
      <c r="B4" s="2" t="s">
        <v>0</v>
      </c>
      <c r="C4" s="1" t="s">
        <v>99</v>
      </c>
      <c r="D4" s="2" t="s">
        <v>4</v>
      </c>
      <c r="E4" s="2" t="s">
        <v>2</v>
      </c>
      <c r="F4" s="2" t="s">
        <v>3</v>
      </c>
      <c r="I4" s="2" t="s">
        <v>135</v>
      </c>
      <c r="J4" s="2" t="s">
        <v>136</v>
      </c>
    </row>
    <row r="5" spans="2:11" x14ac:dyDescent="0.3">
      <c r="B5" s="2" t="s">
        <v>1</v>
      </c>
      <c r="C5" s="1" t="s">
        <v>15</v>
      </c>
      <c r="D5" s="6">
        <v>45719</v>
      </c>
      <c r="E5" s="6">
        <v>45811</v>
      </c>
      <c r="F5" s="38">
        <f>AVERAGE(Table17[% Completed])</f>
        <v>0.6</v>
      </c>
      <c r="I5" s="1">
        <f>SUM(Table17[Story Points])</f>
        <v>13</v>
      </c>
      <c r="J5" s="1">
        <f>SUM(Table17[Duration])</f>
        <v>14</v>
      </c>
    </row>
    <row r="7" spans="2:11" x14ac:dyDescent="0.3">
      <c r="B7" s="3" t="s">
        <v>14</v>
      </c>
      <c r="C7" s="3" t="s">
        <v>5</v>
      </c>
      <c r="D7" s="3" t="s">
        <v>6</v>
      </c>
      <c r="E7" s="3" t="s">
        <v>7</v>
      </c>
      <c r="F7" s="3" t="s">
        <v>86</v>
      </c>
      <c r="G7" s="3" t="s">
        <v>4</v>
      </c>
      <c r="H7" s="3" t="s">
        <v>8</v>
      </c>
      <c r="I7" s="3" t="s">
        <v>9</v>
      </c>
      <c r="J7" s="3" t="s">
        <v>10</v>
      </c>
      <c r="K7" s="3" t="s">
        <v>80</v>
      </c>
    </row>
    <row r="8" spans="2:11" x14ac:dyDescent="0.3">
      <c r="B8" s="22">
        <v>18</v>
      </c>
      <c r="C8" s="19" t="s">
        <v>43</v>
      </c>
      <c r="D8" s="4" t="s">
        <v>76</v>
      </c>
      <c r="E8" s="4" t="s">
        <v>52</v>
      </c>
      <c r="F8" s="4">
        <v>3</v>
      </c>
      <c r="G8" s="5">
        <v>45791</v>
      </c>
      <c r="H8" s="5">
        <v>45794</v>
      </c>
      <c r="I8" s="19">
        <f>Table17[[#This Row],[Finish Date]]-Table17[[#This Row],[Start Date]]</f>
        <v>3</v>
      </c>
      <c r="J8" s="4" t="s">
        <v>31</v>
      </c>
      <c r="K8" s="36">
        <v>0.6</v>
      </c>
    </row>
    <row r="9" spans="2:11" x14ac:dyDescent="0.3">
      <c r="B9" s="22">
        <v>19</v>
      </c>
      <c r="C9" s="19" t="s">
        <v>63</v>
      </c>
      <c r="D9" s="4" t="s">
        <v>59</v>
      </c>
      <c r="E9" s="4" t="s">
        <v>53</v>
      </c>
      <c r="F9" s="4">
        <v>5</v>
      </c>
      <c r="G9" s="5">
        <v>45794</v>
      </c>
      <c r="H9" s="5">
        <v>45799</v>
      </c>
      <c r="I9" s="19">
        <f>Table17[[#This Row],[Finish Date]]-Table17[[#This Row],[Start Date]]</f>
        <v>5</v>
      </c>
      <c r="J9" s="4" t="s">
        <v>12</v>
      </c>
      <c r="K9" s="36">
        <v>0.7</v>
      </c>
    </row>
    <row r="10" spans="2:11" x14ac:dyDescent="0.3">
      <c r="B10" s="22">
        <v>20</v>
      </c>
      <c r="C10" s="19" t="s">
        <v>44</v>
      </c>
      <c r="D10" s="4" t="s">
        <v>74</v>
      </c>
      <c r="E10" s="4" t="s">
        <v>53</v>
      </c>
      <c r="F10" s="4">
        <v>5</v>
      </c>
      <c r="G10" s="5">
        <v>45805</v>
      </c>
      <c r="H10" s="5">
        <v>45811</v>
      </c>
      <c r="I10" s="19">
        <f>Table17[[#This Row],[Finish Date]]-Table17[[#This Row],[Start Date]]</f>
        <v>6</v>
      </c>
      <c r="J10" s="4" t="s">
        <v>33</v>
      </c>
      <c r="K10" s="36">
        <v>0.5</v>
      </c>
    </row>
  </sheetData>
  <mergeCells count="1">
    <mergeCell ref="B1:K2"/>
  </mergeCell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4A8B5FD-2FEE-4577-8585-6D0AA66B0A52}">
          <x14:formula1>
            <xm:f>Dropdown_keys!$B$4:$B$10</xm:f>
          </x14:formula1>
          <xm:sqref>J8:J10</xm:sqref>
        </x14:dataValidation>
        <x14:dataValidation type="list" allowBlank="1" showInputMessage="1" showErrorMessage="1" xr:uid="{F4A5BD32-A959-48F2-BFAE-999D6F796C98}">
          <x14:formula1>
            <xm:f>Dropdown_keys!$F$4:$F$15</xm:f>
          </x14:formula1>
          <xm:sqref>D8:D10</xm:sqref>
        </x14:dataValidation>
        <x14:dataValidation type="list" allowBlank="1" showInputMessage="1" showErrorMessage="1" xr:uid="{7924043D-512E-4662-80FC-CCB802161929}">
          <x14:formula1>
            <xm:f>Dropdown_keys!$H$4:$H$15</xm:f>
          </x14:formula1>
          <xm:sqref>E8:E10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E04D-4DFF-4117-9B7B-5EB2E741DCCA}">
  <dimension ref="B1:K10"/>
  <sheetViews>
    <sheetView workbookViewId="0">
      <selection activeCell="B1" sqref="B1:K2"/>
    </sheetView>
  </sheetViews>
  <sheetFormatPr defaultRowHeight="14.4" x14ac:dyDescent="0.3"/>
  <cols>
    <col min="2" max="2" width="14.44140625" bestFit="1" customWidth="1"/>
    <col min="3" max="3" width="31.77734375" bestFit="1" customWidth="1"/>
    <col min="4" max="4" width="13.44140625" customWidth="1"/>
    <col min="5" max="5" width="19.109375" customWidth="1"/>
    <col min="6" max="6" width="14.5546875" bestFit="1" customWidth="1"/>
    <col min="7" max="7" width="14.21875" bestFit="1" customWidth="1"/>
    <col min="8" max="8" width="13.21875" bestFit="1" customWidth="1"/>
    <col min="9" max="9" width="16.44140625" bestFit="1" customWidth="1"/>
    <col min="10" max="10" width="16.5546875" bestFit="1" customWidth="1"/>
    <col min="11" max="11" width="14.33203125" bestFit="1" customWidth="1"/>
  </cols>
  <sheetData>
    <row r="1" spans="2:11" ht="14.4" customHeight="1" x14ac:dyDescent="0.3">
      <c r="B1" s="93" t="s">
        <v>130</v>
      </c>
      <c r="C1" s="94"/>
      <c r="D1" s="94"/>
      <c r="E1" s="94"/>
      <c r="F1" s="94"/>
      <c r="G1" s="94"/>
      <c r="H1" s="94"/>
      <c r="I1" s="94"/>
      <c r="J1" s="94"/>
      <c r="K1" s="95"/>
    </row>
    <row r="2" spans="2:11" ht="14.4" customHeight="1" x14ac:dyDescent="0.3">
      <c r="B2" s="96"/>
      <c r="C2" s="97"/>
      <c r="D2" s="97"/>
      <c r="E2" s="97"/>
      <c r="F2" s="97"/>
      <c r="G2" s="97"/>
      <c r="H2" s="97"/>
      <c r="I2" s="97"/>
      <c r="J2" s="97"/>
      <c r="K2" s="98"/>
    </row>
    <row r="4" spans="2:11" x14ac:dyDescent="0.3">
      <c r="B4" s="2" t="s">
        <v>0</v>
      </c>
      <c r="C4" s="1" t="s">
        <v>99</v>
      </c>
      <c r="D4" s="2" t="s">
        <v>4</v>
      </c>
      <c r="E4" s="2" t="s">
        <v>2</v>
      </c>
      <c r="F4" s="2" t="s">
        <v>3</v>
      </c>
      <c r="I4" s="2" t="s">
        <v>135</v>
      </c>
      <c r="J4" s="2" t="s">
        <v>136</v>
      </c>
    </row>
    <row r="5" spans="2:11" x14ac:dyDescent="0.3">
      <c r="B5" s="2" t="s">
        <v>1</v>
      </c>
      <c r="C5" s="1" t="s">
        <v>15</v>
      </c>
      <c r="D5" s="6">
        <v>45719</v>
      </c>
      <c r="E5" s="6">
        <v>45964</v>
      </c>
      <c r="F5" s="38">
        <f>AVERAGE(Table18[% Completed])</f>
        <v>0.5</v>
      </c>
      <c r="I5" s="1">
        <f>SUM(Table18[Story Points])</f>
        <v>8</v>
      </c>
      <c r="J5" s="1">
        <f>SUM(Table18[Duration])</f>
        <v>9</v>
      </c>
    </row>
    <row r="7" spans="2:11" x14ac:dyDescent="0.3">
      <c r="B7" s="3" t="s">
        <v>14</v>
      </c>
      <c r="C7" s="3" t="s">
        <v>5</v>
      </c>
      <c r="D7" s="3" t="s">
        <v>6</v>
      </c>
      <c r="E7" s="3" t="s">
        <v>7</v>
      </c>
      <c r="F7" s="3" t="s">
        <v>86</v>
      </c>
      <c r="G7" s="3" t="s">
        <v>4</v>
      </c>
      <c r="H7" s="3" t="s">
        <v>8</v>
      </c>
      <c r="I7" s="3" t="s">
        <v>9</v>
      </c>
      <c r="J7" s="3" t="s">
        <v>10</v>
      </c>
      <c r="K7" s="3" t="s">
        <v>80</v>
      </c>
    </row>
    <row r="8" spans="2:11" x14ac:dyDescent="0.3">
      <c r="B8" s="22">
        <v>21</v>
      </c>
      <c r="C8" s="19" t="s">
        <v>45</v>
      </c>
      <c r="D8" s="4" t="s">
        <v>74</v>
      </c>
      <c r="E8" s="4" t="s">
        <v>53</v>
      </c>
      <c r="F8" s="4">
        <v>3</v>
      </c>
      <c r="G8" s="5">
        <v>45805</v>
      </c>
      <c r="H8" s="5">
        <v>45809</v>
      </c>
      <c r="I8" s="19">
        <f>Table18[[#This Row],[Finish Date]]-Table18[[#This Row],[Start Date]]</f>
        <v>4</v>
      </c>
      <c r="J8" s="4" t="s">
        <v>31</v>
      </c>
      <c r="K8" s="36">
        <v>0.6</v>
      </c>
    </row>
    <row r="9" spans="2:11" x14ac:dyDescent="0.3">
      <c r="B9" s="22">
        <v>22</v>
      </c>
      <c r="C9" s="19" t="s">
        <v>62</v>
      </c>
      <c r="D9" s="4" t="s">
        <v>58</v>
      </c>
      <c r="E9" s="4" t="s">
        <v>20</v>
      </c>
      <c r="F9" s="4">
        <v>2</v>
      </c>
      <c r="G9" s="5">
        <v>45811</v>
      </c>
      <c r="H9" s="5">
        <v>45813</v>
      </c>
      <c r="I9" s="19">
        <f>Table18[[#This Row],[Finish Date]]-Table18[[#This Row],[Start Date]]</f>
        <v>2</v>
      </c>
      <c r="J9" s="4" t="s">
        <v>11</v>
      </c>
      <c r="K9" s="36">
        <v>0.1</v>
      </c>
    </row>
    <row r="10" spans="2:11" x14ac:dyDescent="0.3">
      <c r="B10" s="22">
        <v>23</v>
      </c>
      <c r="C10" s="19" t="s">
        <v>46</v>
      </c>
      <c r="D10" s="4" t="s">
        <v>78</v>
      </c>
      <c r="E10" s="4" t="s">
        <v>54</v>
      </c>
      <c r="F10" s="4">
        <v>3</v>
      </c>
      <c r="G10" s="5">
        <v>45819</v>
      </c>
      <c r="H10" s="5">
        <v>45822</v>
      </c>
      <c r="I10" s="19">
        <f>Table18[[#This Row],[Finish Date]]-Table18[[#This Row],[Start Date]]</f>
        <v>3</v>
      </c>
      <c r="J10" s="4" t="s">
        <v>30</v>
      </c>
      <c r="K10" s="36">
        <v>0.8</v>
      </c>
    </row>
  </sheetData>
  <mergeCells count="1">
    <mergeCell ref="B1:K2"/>
  </mergeCell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29DC08B-7CBE-43F5-8B81-9C944EA4841B}">
          <x14:formula1>
            <xm:f>Dropdown_keys!$B$4:$B$10</xm:f>
          </x14:formula1>
          <xm:sqref>J8:J10</xm:sqref>
        </x14:dataValidation>
        <x14:dataValidation type="list" allowBlank="1" showInputMessage="1" showErrorMessage="1" xr:uid="{F05BC8AF-DDDC-4B66-BB85-002411FF885C}">
          <x14:formula1>
            <xm:f>Dropdown_keys!$F$4:$F$15</xm:f>
          </x14:formula1>
          <xm:sqref>D8:D10</xm:sqref>
        </x14:dataValidation>
        <x14:dataValidation type="list" allowBlank="1" showInputMessage="1" showErrorMessage="1" xr:uid="{EECA1A6B-1B95-4603-AB2E-FB52FDBD7217}">
          <x14:formula1>
            <xm:f>Dropdown_keys!$H$4:$H$15</xm:f>
          </x14:formula1>
          <xm:sqref>E8:E10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DF45-7287-4A37-9D32-71C6954C1A29}">
  <dimension ref="B1:K21"/>
  <sheetViews>
    <sheetView workbookViewId="0">
      <selection activeCell="I5" sqref="I5"/>
    </sheetView>
  </sheetViews>
  <sheetFormatPr defaultRowHeight="14.4" x14ac:dyDescent="0.3"/>
  <cols>
    <col min="2" max="2" width="14.44140625" bestFit="1" customWidth="1"/>
    <col min="3" max="3" width="37.77734375" bestFit="1" customWidth="1"/>
    <col min="4" max="4" width="14.88671875" bestFit="1" customWidth="1"/>
    <col min="5" max="5" width="18.77734375" bestFit="1" customWidth="1"/>
    <col min="6" max="6" width="14.5546875" bestFit="1" customWidth="1"/>
    <col min="7" max="7" width="14.21875" bestFit="1" customWidth="1"/>
    <col min="8" max="8" width="13.21875" bestFit="1" customWidth="1"/>
    <col min="9" max="9" width="16.44140625" bestFit="1" customWidth="1"/>
    <col min="10" max="10" width="16.5546875" bestFit="1" customWidth="1"/>
    <col min="11" max="11" width="14.33203125" bestFit="1" customWidth="1"/>
  </cols>
  <sheetData>
    <row r="1" spans="2:11" ht="14.4" customHeight="1" x14ac:dyDescent="0.3">
      <c r="B1" s="93" t="s">
        <v>131</v>
      </c>
      <c r="C1" s="94"/>
      <c r="D1" s="94"/>
      <c r="E1" s="94"/>
      <c r="F1" s="94"/>
      <c r="G1" s="94"/>
      <c r="H1" s="94"/>
      <c r="I1" s="94"/>
      <c r="J1" s="94"/>
      <c r="K1" s="95"/>
    </row>
    <row r="2" spans="2:11" ht="14.4" customHeight="1" x14ac:dyDescent="0.3">
      <c r="B2" s="96"/>
      <c r="C2" s="97"/>
      <c r="D2" s="97"/>
      <c r="E2" s="97"/>
      <c r="F2" s="97"/>
      <c r="G2" s="97"/>
      <c r="H2" s="97"/>
      <c r="I2" s="97"/>
      <c r="J2" s="97"/>
      <c r="K2" s="98"/>
    </row>
    <row r="4" spans="2:11" x14ac:dyDescent="0.3">
      <c r="B4" s="2" t="s">
        <v>0</v>
      </c>
      <c r="C4" s="1" t="s">
        <v>99</v>
      </c>
      <c r="D4" s="2" t="s">
        <v>4</v>
      </c>
      <c r="E4" s="2" t="s">
        <v>2</v>
      </c>
      <c r="F4" s="2" t="s">
        <v>3</v>
      </c>
      <c r="I4" s="2" t="s">
        <v>135</v>
      </c>
      <c r="J4" s="2" t="s">
        <v>136</v>
      </c>
    </row>
    <row r="5" spans="2:11" x14ac:dyDescent="0.3">
      <c r="B5" s="2" t="s">
        <v>1</v>
      </c>
      <c r="C5" s="1" t="s">
        <v>15</v>
      </c>
      <c r="D5" s="6">
        <v>45719</v>
      </c>
      <c r="E5" s="6">
        <v>45964</v>
      </c>
      <c r="F5" s="38">
        <f>AVERAGE(Table19[% Completed])</f>
        <v>0.5</v>
      </c>
      <c r="I5" s="1">
        <f>SUM(Table19[Story Points])</f>
        <v>7</v>
      </c>
      <c r="J5" s="1">
        <f>SUM(Table19[Duration])</f>
        <v>6</v>
      </c>
    </row>
    <row r="7" spans="2:11" x14ac:dyDescent="0.3">
      <c r="B7" s="3" t="s">
        <v>14</v>
      </c>
      <c r="C7" s="3" t="s">
        <v>5</v>
      </c>
      <c r="D7" s="3" t="s">
        <v>6</v>
      </c>
      <c r="E7" s="3" t="s">
        <v>7</v>
      </c>
      <c r="F7" s="3" t="s">
        <v>86</v>
      </c>
      <c r="G7" s="3" t="s">
        <v>4</v>
      </c>
      <c r="H7" s="3" t="s">
        <v>8</v>
      </c>
      <c r="I7" s="3" t="s">
        <v>9</v>
      </c>
      <c r="J7" s="3" t="s">
        <v>10</v>
      </c>
      <c r="K7" s="3" t="s">
        <v>80</v>
      </c>
    </row>
    <row r="8" spans="2:11" x14ac:dyDescent="0.3">
      <c r="B8" s="22">
        <v>24</v>
      </c>
      <c r="C8" s="19" t="s">
        <v>47</v>
      </c>
      <c r="D8" s="4" t="s">
        <v>74</v>
      </c>
      <c r="E8" s="4" t="s">
        <v>24</v>
      </c>
      <c r="F8" s="4">
        <v>2</v>
      </c>
      <c r="G8" s="5">
        <v>45819</v>
      </c>
      <c r="H8" s="5">
        <v>45821</v>
      </c>
      <c r="I8" s="19">
        <v>2</v>
      </c>
      <c r="J8" s="4" t="s">
        <v>12</v>
      </c>
      <c r="K8" s="36">
        <v>0.7</v>
      </c>
    </row>
    <row r="9" spans="2:11" x14ac:dyDescent="0.3">
      <c r="B9" s="22">
        <v>25</v>
      </c>
      <c r="C9" s="19" t="s">
        <v>48</v>
      </c>
      <c r="D9" s="4" t="s">
        <v>72</v>
      </c>
      <c r="E9" s="4" t="s">
        <v>132</v>
      </c>
      <c r="F9" s="4">
        <v>2</v>
      </c>
      <c r="G9" s="5">
        <v>45823</v>
      </c>
      <c r="H9" s="5">
        <v>45825</v>
      </c>
      <c r="I9" s="19">
        <v>2</v>
      </c>
      <c r="J9" s="4" t="s">
        <v>11</v>
      </c>
      <c r="K9" s="36">
        <v>0.1</v>
      </c>
    </row>
    <row r="10" spans="2:11" x14ac:dyDescent="0.3">
      <c r="B10" s="22">
        <v>26</v>
      </c>
      <c r="C10" s="19" t="s">
        <v>61</v>
      </c>
      <c r="D10" s="4" t="s">
        <v>60</v>
      </c>
      <c r="E10" s="4" t="s">
        <v>132</v>
      </c>
      <c r="F10" s="4">
        <v>3</v>
      </c>
      <c r="G10" s="5">
        <v>45833</v>
      </c>
      <c r="H10" s="5">
        <v>45836</v>
      </c>
      <c r="I10" s="19">
        <v>2</v>
      </c>
      <c r="J10" s="4" t="s">
        <v>12</v>
      </c>
      <c r="K10" s="36">
        <v>0.7</v>
      </c>
    </row>
    <row r="14" spans="2:11" x14ac:dyDescent="0.3">
      <c r="C14" s="39" t="s">
        <v>82</v>
      </c>
      <c r="D14" t="s">
        <v>84</v>
      </c>
      <c r="E14" t="s">
        <v>85</v>
      </c>
    </row>
    <row r="15" spans="2:11" x14ac:dyDescent="0.3">
      <c r="C15" s="40">
        <v>45819</v>
      </c>
      <c r="D15">
        <v>2</v>
      </c>
      <c r="E15" s="35">
        <v>0.7</v>
      </c>
      <c r="F15" s="35"/>
    </row>
    <row r="16" spans="2:11" x14ac:dyDescent="0.3">
      <c r="C16" s="41" t="s">
        <v>74</v>
      </c>
      <c r="D16">
        <v>2</v>
      </c>
      <c r="E16" s="35">
        <v>0.7</v>
      </c>
      <c r="F16" s="35"/>
    </row>
    <row r="17" spans="3:6" x14ac:dyDescent="0.3">
      <c r="C17" s="40">
        <v>45823</v>
      </c>
      <c r="D17">
        <v>2</v>
      </c>
      <c r="E17" s="35">
        <v>0.1</v>
      </c>
      <c r="F17" s="35"/>
    </row>
    <row r="18" spans="3:6" x14ac:dyDescent="0.3">
      <c r="C18" s="41" t="s">
        <v>72</v>
      </c>
      <c r="D18">
        <v>2</v>
      </c>
      <c r="E18" s="35">
        <v>0.1</v>
      </c>
      <c r="F18" s="35"/>
    </row>
    <row r="19" spans="3:6" x14ac:dyDescent="0.3">
      <c r="C19" s="40">
        <v>45833</v>
      </c>
      <c r="D19">
        <v>2</v>
      </c>
      <c r="E19" s="35">
        <v>0.7</v>
      </c>
      <c r="F19" s="35"/>
    </row>
    <row r="20" spans="3:6" x14ac:dyDescent="0.3">
      <c r="C20" s="41" t="s">
        <v>60</v>
      </c>
      <c r="D20">
        <v>2</v>
      </c>
      <c r="E20" s="35">
        <v>0.7</v>
      </c>
      <c r="F20" s="35"/>
    </row>
    <row r="21" spans="3:6" x14ac:dyDescent="0.3">
      <c r="C21" s="40" t="s">
        <v>83</v>
      </c>
      <c r="D21">
        <v>6</v>
      </c>
      <c r="E21" s="35">
        <v>1.5</v>
      </c>
      <c r="F21" s="35"/>
    </row>
  </sheetData>
  <mergeCells count="1">
    <mergeCell ref="B1:K2"/>
  </mergeCells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3566C8D-69C1-4BE6-B32F-196B0A5CF121}">
          <x14:formula1>
            <xm:f>Dropdown_keys!$B$4:$B$6</xm:f>
          </x14:formula1>
          <xm:sqref>J8:J10</xm:sqref>
        </x14:dataValidation>
        <x14:dataValidation type="list" allowBlank="1" showInputMessage="1" showErrorMessage="1" xr:uid="{BEB9B240-0AC8-45B8-A975-A042B0A9F4F2}">
          <x14:formula1>
            <xm:f>Dropdown_keys!$F$4:$F$15</xm:f>
          </x14:formula1>
          <xm:sqref>D8:D10</xm:sqref>
        </x14:dataValidation>
        <x14:dataValidation type="list" allowBlank="1" showInputMessage="1" showErrorMessage="1" xr:uid="{861CC585-1CE4-4B29-89FE-AD5F7196FA48}">
          <x14:formula1>
            <xm:f>Dropdown_keys!$H$4:$H$15</xm:f>
          </x14:formula1>
          <xm:sqref>E8:E10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0E5A-9DAD-479D-9427-F26B1728B2F1}">
  <dimension ref="B1:L52"/>
  <sheetViews>
    <sheetView topLeftCell="B1" zoomScale="88" zoomScaleNormal="88" workbookViewId="0">
      <selection activeCell="B1" sqref="B1:K1"/>
    </sheetView>
  </sheetViews>
  <sheetFormatPr defaultRowHeight="14.4" x14ac:dyDescent="0.3"/>
  <cols>
    <col min="2" max="2" width="15.6640625" bestFit="1" customWidth="1"/>
    <col min="3" max="3" width="65.5546875" bestFit="1" customWidth="1"/>
    <col min="4" max="4" width="15.5546875" bestFit="1" customWidth="1"/>
    <col min="5" max="5" width="19.5546875" bestFit="1" customWidth="1"/>
    <col min="6" max="6" width="16.33203125" bestFit="1" customWidth="1"/>
    <col min="7" max="7" width="18.44140625" bestFit="1" customWidth="1"/>
    <col min="8" max="8" width="15.5546875" bestFit="1" customWidth="1"/>
    <col min="9" max="9" width="16.88671875" bestFit="1" customWidth="1"/>
    <col min="10" max="10" width="16.5546875" bestFit="1" customWidth="1"/>
    <col min="11" max="11" width="14.33203125" bestFit="1" customWidth="1"/>
    <col min="13" max="13" width="11.109375" bestFit="1" customWidth="1"/>
    <col min="14" max="14" width="11.5546875" bestFit="1" customWidth="1"/>
  </cols>
  <sheetData>
    <row r="1" spans="2:11" ht="21" x14ac:dyDescent="0.3">
      <c r="B1" s="99" t="s">
        <v>133</v>
      </c>
      <c r="C1" s="99"/>
      <c r="D1" s="99"/>
      <c r="E1" s="99"/>
      <c r="F1" s="99"/>
      <c r="G1" s="99"/>
      <c r="H1" s="99"/>
      <c r="I1" s="99"/>
      <c r="J1" s="99"/>
      <c r="K1" s="99"/>
    </row>
    <row r="3" spans="2:11" x14ac:dyDescent="0.3">
      <c r="B3" s="2" t="s">
        <v>0</v>
      </c>
      <c r="C3" s="1" t="s">
        <v>99</v>
      </c>
      <c r="D3" s="2" t="s">
        <v>4</v>
      </c>
      <c r="E3" s="2" t="s">
        <v>2</v>
      </c>
      <c r="F3" s="2" t="s">
        <v>3</v>
      </c>
      <c r="H3" s="2" t="s">
        <v>135</v>
      </c>
      <c r="I3" s="2" t="s">
        <v>136</v>
      </c>
    </row>
    <row r="4" spans="2:11" x14ac:dyDescent="0.3">
      <c r="B4" s="2" t="s">
        <v>1</v>
      </c>
      <c r="C4" s="1" t="s">
        <v>15</v>
      </c>
      <c r="D4" s="6">
        <v>45719</v>
      </c>
      <c r="E4" s="6">
        <v>45836</v>
      </c>
      <c r="F4" s="20">
        <f>AVERAGE(K8:K36)</f>
        <v>0.63103448275862051</v>
      </c>
      <c r="H4" s="1">
        <f>SUM(K40:K47)</f>
        <v>130</v>
      </c>
      <c r="I4" s="1">
        <f>SUM(L40:L47)</f>
        <v>144</v>
      </c>
    </row>
    <row r="7" spans="2:11" x14ac:dyDescent="0.3">
      <c r="B7" s="51" t="s">
        <v>14</v>
      </c>
      <c r="C7" s="51" t="s">
        <v>5</v>
      </c>
      <c r="D7" s="51" t="s">
        <v>6</v>
      </c>
      <c r="E7" s="51" t="s">
        <v>7</v>
      </c>
      <c r="F7" s="51" t="s">
        <v>86</v>
      </c>
      <c r="G7" s="51" t="s">
        <v>4</v>
      </c>
      <c r="H7" s="51" t="s">
        <v>8</v>
      </c>
      <c r="I7" s="51" t="s">
        <v>9</v>
      </c>
      <c r="J7" s="51" t="s">
        <v>10</v>
      </c>
      <c r="K7" s="51" t="s">
        <v>80</v>
      </c>
    </row>
    <row r="8" spans="2:11" x14ac:dyDescent="0.3">
      <c r="B8" s="19" cm="1">
        <f t="array" ref="B8:K12">Table1[]</f>
        <v>1</v>
      </c>
      <c r="C8" s="19" t="str">
        <v>Conduct site surveys and project evaluation.</v>
      </c>
      <c r="D8" s="19" t="str">
        <v>Surveys</v>
      </c>
      <c r="E8" s="19" t="str">
        <v>Project Manager</v>
      </c>
      <c r="F8" s="19">
        <v>1</v>
      </c>
      <c r="G8" s="52">
        <v>45719</v>
      </c>
      <c r="H8" s="52">
        <v>45721</v>
      </c>
      <c r="I8" s="19">
        <v>2</v>
      </c>
      <c r="J8" s="19" t="str">
        <v>Done</v>
      </c>
      <c r="K8" s="53">
        <v>1</v>
      </c>
    </row>
    <row r="9" spans="2:11" x14ac:dyDescent="0.3">
      <c r="B9" s="19">
        <v>2</v>
      </c>
      <c r="C9" s="19" t="str">
        <v>Develop architectural designs and blueprints.</v>
      </c>
      <c r="D9" s="19" t="str">
        <v>Design</v>
      </c>
      <c r="E9" s="19" t="str">
        <v>Architect</v>
      </c>
      <c r="F9" s="19">
        <v>5</v>
      </c>
      <c r="G9" s="52">
        <v>45720</v>
      </c>
      <c r="H9" s="52">
        <v>45725</v>
      </c>
      <c r="I9" s="19">
        <v>5</v>
      </c>
      <c r="J9" s="19" t="str">
        <v>Done</v>
      </c>
      <c r="K9" s="53">
        <v>1</v>
      </c>
    </row>
    <row r="10" spans="2:11" x14ac:dyDescent="0.3">
      <c r="B10" s="19">
        <v>3</v>
      </c>
      <c r="C10" s="19" t="str">
        <v>Obtain necessary permits and approvals.</v>
      </c>
      <c r="D10" s="19" t="str">
        <v>Approvals</v>
      </c>
      <c r="E10" s="19" t="str">
        <v>Contractor</v>
      </c>
      <c r="F10" s="19">
        <v>2</v>
      </c>
      <c r="G10" s="52">
        <v>45724</v>
      </c>
      <c r="H10" s="52">
        <v>45726</v>
      </c>
      <c r="I10" s="19">
        <v>2</v>
      </c>
      <c r="J10" s="19" t="str">
        <v>In Progress</v>
      </c>
      <c r="K10" s="53">
        <v>0.7</v>
      </c>
    </row>
    <row r="11" spans="2:11" x14ac:dyDescent="0.3">
      <c r="B11" s="19">
        <v>4</v>
      </c>
      <c r="C11" s="19" t="str">
        <v>Lay foundations and construct basic infrastructure such as roads and utilities</v>
      </c>
      <c r="D11" s="19" t="str">
        <v>Construction</v>
      </c>
      <c r="E11" s="19" t="str">
        <v>Civil Engineer</v>
      </c>
      <c r="F11" s="19">
        <v>5</v>
      </c>
      <c r="G11" s="52">
        <v>45725</v>
      </c>
      <c r="H11" s="52">
        <v>45731</v>
      </c>
      <c r="I11" s="19">
        <v>6</v>
      </c>
      <c r="J11" s="19" t="str">
        <v>In Progress</v>
      </c>
      <c r="K11" s="53">
        <v>0.7</v>
      </c>
    </row>
    <row r="12" spans="2:11" x14ac:dyDescent="0.3">
      <c r="B12" s="19">
        <v>5</v>
      </c>
      <c r="C12" s="19" t="str">
        <v>Monitor progress and quality.</v>
      </c>
      <c r="D12" s="19" t="str">
        <v>Testing</v>
      </c>
      <c r="E12" s="19" t="str">
        <v>Project Manager</v>
      </c>
      <c r="F12" s="19">
        <v>5</v>
      </c>
      <c r="G12" s="52">
        <v>45731</v>
      </c>
      <c r="H12" s="52">
        <v>45736</v>
      </c>
      <c r="I12" s="19">
        <v>5</v>
      </c>
      <c r="J12" s="19" t="str">
        <v>Needs Review</v>
      </c>
      <c r="K12" s="53">
        <v>0.6</v>
      </c>
    </row>
    <row r="13" spans="2:11" x14ac:dyDescent="0.3">
      <c r="B13" s="19" cm="1">
        <f t="array" ref="B13:K16">Table13[]</f>
        <v>4</v>
      </c>
      <c r="C13" s="19" t="str">
        <v>Lay foundations and construct basic infrastructure such as roads and utilities</v>
      </c>
      <c r="D13" s="19" t="str">
        <v>Construction</v>
      </c>
      <c r="E13" s="19" t="str">
        <v>Civil Engineer</v>
      </c>
      <c r="F13" s="19">
        <v>3</v>
      </c>
      <c r="G13" s="52">
        <v>45733</v>
      </c>
      <c r="H13" s="52">
        <v>45736</v>
      </c>
      <c r="I13" s="19">
        <v>3</v>
      </c>
      <c r="J13" s="19" t="str">
        <v>In Progress</v>
      </c>
      <c r="K13" s="53">
        <v>0.7</v>
      </c>
    </row>
    <row r="14" spans="2:11" x14ac:dyDescent="0.3">
      <c r="B14" s="19">
        <v>6</v>
      </c>
      <c r="C14" s="19" t="str">
        <v>Estimate the cost and purchase construction materials.</v>
      </c>
      <c r="D14" s="19" t="str">
        <v>Purchase</v>
      </c>
      <c r="E14" s="19" t="str">
        <v>Supplier</v>
      </c>
      <c r="F14" s="19">
        <v>5</v>
      </c>
      <c r="G14" s="52">
        <v>45733</v>
      </c>
      <c r="H14" s="52">
        <v>45739</v>
      </c>
      <c r="I14" s="19">
        <v>6</v>
      </c>
      <c r="J14" s="19" t="str">
        <v>In Progress</v>
      </c>
      <c r="K14" s="53">
        <v>0.7</v>
      </c>
    </row>
    <row r="15" spans="2:11" x14ac:dyDescent="0.3">
      <c r="B15" s="19">
        <v>7</v>
      </c>
      <c r="C15" s="19" t="str">
        <v>Monitor progress and quality.</v>
      </c>
      <c r="D15" s="19" t="str">
        <v>Testing</v>
      </c>
      <c r="E15" s="19" t="str">
        <v>Project Manager</v>
      </c>
      <c r="F15" s="19">
        <v>5</v>
      </c>
      <c r="G15" s="52">
        <v>45736</v>
      </c>
      <c r="H15" s="52">
        <v>45738</v>
      </c>
      <c r="I15" s="19">
        <v>2</v>
      </c>
      <c r="J15" s="19" t="str">
        <v>Needs Review</v>
      </c>
      <c r="K15" s="53">
        <v>0.6</v>
      </c>
    </row>
    <row r="16" spans="2:11" x14ac:dyDescent="0.3">
      <c r="B16" s="19">
        <v>8</v>
      </c>
      <c r="C16" s="19" t="str">
        <v>Set up temporary site storage facilities.</v>
      </c>
      <c r="D16" s="19" t="str">
        <v>Construction</v>
      </c>
      <c r="E16" s="19" t="str">
        <v>Civil Engineer</v>
      </c>
      <c r="F16" s="19">
        <v>8</v>
      </c>
      <c r="G16" s="52">
        <v>45744</v>
      </c>
      <c r="H16" s="52">
        <v>45752</v>
      </c>
      <c r="I16" s="19">
        <v>8</v>
      </c>
      <c r="J16" s="19" t="str">
        <v>In Progress</v>
      </c>
      <c r="K16" s="53">
        <v>0.7</v>
      </c>
    </row>
    <row r="17" spans="2:11" x14ac:dyDescent="0.3">
      <c r="B17" s="19" cm="1">
        <f t="array" ref="B17:K20">Table14[]</f>
        <v>9</v>
      </c>
      <c r="C17" s="19" t="str">
        <v>Clear and level the site.</v>
      </c>
      <c r="D17" s="19" t="str">
        <v>Construction</v>
      </c>
      <c r="E17" s="19" t="str">
        <v>Contractor</v>
      </c>
      <c r="F17" s="19">
        <v>5</v>
      </c>
      <c r="G17" s="52">
        <v>45747</v>
      </c>
      <c r="H17" s="52">
        <v>45752</v>
      </c>
      <c r="I17" s="19">
        <v>5</v>
      </c>
      <c r="J17" s="19" t="str">
        <v>In Progress</v>
      </c>
      <c r="K17" s="53">
        <v>0.7</v>
      </c>
    </row>
    <row r="18" spans="2:11" x14ac:dyDescent="0.3">
      <c r="B18" s="19">
        <v>10</v>
      </c>
      <c r="C18" s="19" t="str">
        <v>Start digging for building foundations.</v>
      </c>
      <c r="D18" s="19" t="str">
        <v>Construction</v>
      </c>
      <c r="E18" s="19" t="str">
        <v>Civil Engineer</v>
      </c>
      <c r="F18" s="19">
        <v>3</v>
      </c>
      <c r="G18" s="52">
        <v>45754</v>
      </c>
      <c r="H18" s="52">
        <v>45758</v>
      </c>
      <c r="I18" s="19">
        <v>4</v>
      </c>
      <c r="J18" s="19" t="str">
        <v>Not Started</v>
      </c>
      <c r="K18" s="53">
        <v>0.1</v>
      </c>
    </row>
    <row r="19" spans="2:11" x14ac:dyDescent="0.3">
      <c r="B19" s="19">
        <v>8</v>
      </c>
      <c r="C19" s="19" t="str">
        <v>Set up temporary site storage facilities.</v>
      </c>
      <c r="D19" s="19" t="str">
        <v>Construction</v>
      </c>
      <c r="E19" s="19" t="str">
        <v>Civil Engineer</v>
      </c>
      <c r="F19" s="19">
        <v>5</v>
      </c>
      <c r="G19" s="52">
        <v>45744</v>
      </c>
      <c r="H19" s="52">
        <v>45755</v>
      </c>
      <c r="I19" s="19">
        <v>11</v>
      </c>
      <c r="J19" s="19" t="str">
        <v>In Progress</v>
      </c>
      <c r="K19" s="53">
        <v>0.7</v>
      </c>
    </row>
    <row r="20" spans="2:11" x14ac:dyDescent="0.3">
      <c r="B20" s="19">
        <v>11</v>
      </c>
      <c r="C20" s="19" t="str">
        <v>Install basic utilities such as water supply, sewage, electricity.</v>
      </c>
      <c r="D20" s="19" t="str">
        <v>Installation</v>
      </c>
      <c r="E20" s="19" t="str">
        <v>Contractor</v>
      </c>
      <c r="F20" s="19">
        <v>8</v>
      </c>
      <c r="G20" s="52">
        <v>45759</v>
      </c>
      <c r="H20" s="52">
        <v>45767</v>
      </c>
      <c r="I20" s="19">
        <v>8</v>
      </c>
      <c r="J20" s="19" t="str">
        <v>In Progress</v>
      </c>
      <c r="K20" s="53">
        <v>0.7</v>
      </c>
    </row>
    <row r="21" spans="2:11" x14ac:dyDescent="0.3">
      <c r="B21" s="19" cm="1">
        <f t="array" ref="B21:K24">Table15[]</f>
        <v>12</v>
      </c>
      <c r="C21" s="19" t="str">
        <v>Pour concrete and suitable materials to create a stable base for the houses.</v>
      </c>
      <c r="D21" s="19" t="str">
        <v>Construction</v>
      </c>
      <c r="E21" s="19" t="str">
        <v>Contractor</v>
      </c>
      <c r="F21" s="19">
        <v>5</v>
      </c>
      <c r="G21" s="52">
        <v>45761</v>
      </c>
      <c r="H21" s="52">
        <v>45767</v>
      </c>
      <c r="I21" s="19">
        <v>6</v>
      </c>
      <c r="J21" s="19" t="str">
        <v>Done</v>
      </c>
      <c r="K21" s="53">
        <v>1</v>
      </c>
    </row>
    <row r="22" spans="2:11" x14ac:dyDescent="0.3">
      <c r="B22" s="19">
        <v>11</v>
      </c>
      <c r="C22" s="19" t="str">
        <v>Install basic utilities such as water supply, sewage, electricity.</v>
      </c>
      <c r="D22" s="19" t="str">
        <v>Installation</v>
      </c>
      <c r="E22" s="19" t="str">
        <v>Contractor</v>
      </c>
      <c r="F22" s="19">
        <v>8</v>
      </c>
      <c r="G22" s="52">
        <v>45762</v>
      </c>
      <c r="H22" s="52">
        <v>45768</v>
      </c>
      <c r="I22" s="19">
        <v>6</v>
      </c>
      <c r="J22" s="19" t="str">
        <v>In Progress</v>
      </c>
      <c r="K22" s="53">
        <v>0.7</v>
      </c>
    </row>
    <row r="23" spans="2:11" x14ac:dyDescent="0.3">
      <c r="B23" s="19">
        <v>13</v>
      </c>
      <c r="C23" s="19" t="str">
        <v>Construct the frame of the houses like walls and roof.</v>
      </c>
      <c r="D23" s="19" t="str">
        <v>Construction</v>
      </c>
      <c r="E23" s="19" t="str">
        <v>Civil Engineer</v>
      </c>
      <c r="F23" s="19">
        <v>8</v>
      </c>
      <c r="G23" s="52">
        <v>45769</v>
      </c>
      <c r="H23" s="52">
        <v>45780</v>
      </c>
      <c r="I23" s="19">
        <v>11</v>
      </c>
      <c r="J23" s="19" t="str">
        <v>Overdue</v>
      </c>
      <c r="K23" s="53">
        <v>0.8</v>
      </c>
    </row>
    <row r="24" spans="2:11" x14ac:dyDescent="0.3">
      <c r="B24" s="19">
        <v>14</v>
      </c>
      <c r="C24" s="19" t="str">
        <v>Install electrical systems.</v>
      </c>
      <c r="D24" s="19" t="str">
        <v>Installation</v>
      </c>
      <c r="E24" s="19" t="str">
        <v>Electrician</v>
      </c>
      <c r="F24" s="19">
        <v>3</v>
      </c>
      <c r="G24" s="52">
        <v>45775</v>
      </c>
      <c r="H24" s="52">
        <v>45778</v>
      </c>
      <c r="I24" s="19">
        <v>3</v>
      </c>
      <c r="J24" s="19" t="str">
        <v>Needs Review</v>
      </c>
      <c r="K24" s="53">
        <v>0.6</v>
      </c>
    </row>
    <row r="25" spans="2:11" x14ac:dyDescent="0.3">
      <c r="B25" s="19" cm="1">
        <f t="array" ref="B25:K27">Table16[]</f>
        <v>15</v>
      </c>
      <c r="C25" s="19" t="str">
        <v>Ensure proper drainage and sewage systems.</v>
      </c>
      <c r="D25" s="19" t="str">
        <v>Construction</v>
      </c>
      <c r="E25" s="19" t="str">
        <v>Plumber</v>
      </c>
      <c r="F25" s="19">
        <v>5</v>
      </c>
      <c r="G25" s="52">
        <v>45776</v>
      </c>
      <c r="H25" s="52">
        <v>45781</v>
      </c>
      <c r="I25" s="19">
        <v>5</v>
      </c>
      <c r="J25" s="19" t="str">
        <v>Not Started</v>
      </c>
      <c r="K25" s="53">
        <v>0.1</v>
      </c>
    </row>
    <row r="26" spans="2:11" x14ac:dyDescent="0.3">
      <c r="B26" s="19">
        <v>16</v>
      </c>
      <c r="C26" s="19" t="str">
        <v>Install insulation and drywall.</v>
      </c>
      <c r="D26" s="19" t="str">
        <v>Installation</v>
      </c>
      <c r="E26" s="19" t="str">
        <v>Interior Designer</v>
      </c>
      <c r="F26" s="19">
        <v>5</v>
      </c>
      <c r="G26" s="52">
        <v>45782</v>
      </c>
      <c r="H26" s="52">
        <v>45789</v>
      </c>
      <c r="I26" s="19">
        <v>7</v>
      </c>
      <c r="J26" s="19" t="str">
        <v>In Progress</v>
      </c>
      <c r="K26" s="53">
        <v>0.7</v>
      </c>
    </row>
    <row r="27" spans="2:11" x14ac:dyDescent="0.3">
      <c r="B27" s="19">
        <v>17</v>
      </c>
      <c r="C27" s="19" t="str">
        <v>Complete flooring and ceiling works.</v>
      </c>
      <c r="D27" s="19" t="str">
        <v>Interior</v>
      </c>
      <c r="E27" s="19" t="str">
        <v>Interior Designer</v>
      </c>
      <c r="F27" s="19">
        <v>8</v>
      </c>
      <c r="G27" s="52">
        <v>45790</v>
      </c>
      <c r="H27" s="52">
        <v>45800</v>
      </c>
      <c r="I27" s="19">
        <v>10</v>
      </c>
      <c r="J27" s="19" t="str">
        <v>In Progress</v>
      </c>
      <c r="K27" s="53">
        <v>0.7</v>
      </c>
    </row>
    <row r="28" spans="2:11" x14ac:dyDescent="0.3">
      <c r="B28" s="19" cm="1">
        <f t="array" ref="B28:K30">Table17[]</f>
        <v>18</v>
      </c>
      <c r="C28" s="19" t="str">
        <v>Paint and finish walls.</v>
      </c>
      <c r="D28" s="19" t="str">
        <v>Painting</v>
      </c>
      <c r="E28" s="19" t="str">
        <v>Painter</v>
      </c>
      <c r="F28" s="19">
        <v>3</v>
      </c>
      <c r="G28" s="52">
        <v>45791</v>
      </c>
      <c r="H28" s="52">
        <v>45794</v>
      </c>
      <c r="I28" s="19">
        <v>3</v>
      </c>
      <c r="J28" s="19" t="str">
        <v>Needs Review</v>
      </c>
      <c r="K28" s="53">
        <v>0.6</v>
      </c>
    </row>
    <row r="29" spans="2:11" x14ac:dyDescent="0.3">
      <c r="B29" s="19">
        <v>19</v>
      </c>
      <c r="C29" s="19" t="str">
        <v>Create a design and sliding in the exterior.</v>
      </c>
      <c r="D29" s="19" t="str">
        <v>Design</v>
      </c>
      <c r="E29" s="19" t="str">
        <v>Exterior Designer</v>
      </c>
      <c r="F29" s="19">
        <v>5</v>
      </c>
      <c r="G29" s="52">
        <v>45794</v>
      </c>
      <c r="H29" s="52">
        <v>45799</v>
      </c>
      <c r="I29" s="19">
        <v>5</v>
      </c>
      <c r="J29" s="19" t="str">
        <v>In Progress</v>
      </c>
      <c r="K29" s="53">
        <v>0.7</v>
      </c>
    </row>
    <row r="30" spans="2:11" x14ac:dyDescent="0.3">
      <c r="B30" s="19">
        <v>20</v>
      </c>
      <c r="C30" s="19" t="str">
        <v>Install windows and doors.</v>
      </c>
      <c r="D30" s="19" t="str">
        <v>Installation</v>
      </c>
      <c r="E30" s="19" t="str">
        <v>Exterior Designer</v>
      </c>
      <c r="F30" s="19">
        <v>5</v>
      </c>
      <c r="G30" s="52">
        <v>45805</v>
      </c>
      <c r="H30" s="52">
        <v>45811</v>
      </c>
      <c r="I30" s="19">
        <v>6</v>
      </c>
      <c r="J30" s="19" t="str">
        <v>On Hold</v>
      </c>
      <c r="K30" s="53">
        <v>0.5</v>
      </c>
    </row>
    <row r="31" spans="2:11" x14ac:dyDescent="0.3">
      <c r="B31" s="19" cm="1">
        <f t="array" ref="B31:K33">Table18[]</f>
        <v>21</v>
      </c>
      <c r="C31" s="19" t="str">
        <v>Set up outdoor lighting.</v>
      </c>
      <c r="D31" s="19" t="str">
        <v>Installation</v>
      </c>
      <c r="E31" s="19" t="str">
        <v>Exterior Designer</v>
      </c>
      <c r="F31" s="19">
        <v>3</v>
      </c>
      <c r="G31" s="52">
        <v>45805</v>
      </c>
      <c r="H31" s="52">
        <v>45809</v>
      </c>
      <c r="I31" s="19">
        <v>4</v>
      </c>
      <c r="J31" s="19" t="str">
        <v>Needs Review</v>
      </c>
      <c r="K31" s="53">
        <v>0.6</v>
      </c>
    </row>
    <row r="32" spans="2:11" x14ac:dyDescent="0.3">
      <c r="B32" s="19">
        <v>22</v>
      </c>
      <c r="C32" s="19" t="str">
        <v>Construct parking areas.</v>
      </c>
      <c r="D32" s="19" t="str">
        <v>Construction</v>
      </c>
      <c r="E32" s="19" t="str">
        <v>Civil Engineer</v>
      </c>
      <c r="F32" s="19">
        <v>2</v>
      </c>
      <c r="G32" s="52">
        <v>45811</v>
      </c>
      <c r="H32" s="52">
        <v>45813</v>
      </c>
      <c r="I32" s="19">
        <v>2</v>
      </c>
      <c r="J32" s="19" t="str">
        <v>Not Started</v>
      </c>
      <c r="K32" s="53">
        <v>0.1</v>
      </c>
    </row>
    <row r="33" spans="2:12" x14ac:dyDescent="0.3">
      <c r="B33" s="19">
        <v>23</v>
      </c>
      <c r="C33" s="19" t="str">
        <v>Landscape gardens and green spaces.</v>
      </c>
      <c r="D33" s="19" t="str">
        <v>Exterior</v>
      </c>
      <c r="E33" s="19" t="str">
        <v>Landscaper</v>
      </c>
      <c r="F33" s="19">
        <v>3</v>
      </c>
      <c r="G33" s="52">
        <v>45819</v>
      </c>
      <c r="H33" s="52">
        <v>45822</v>
      </c>
      <c r="I33" s="19">
        <v>3</v>
      </c>
      <c r="J33" s="19" t="str">
        <v>Overdue</v>
      </c>
      <c r="K33" s="53">
        <v>0.8</v>
      </c>
    </row>
    <row r="34" spans="2:12" x14ac:dyDescent="0.3">
      <c r="B34" s="19" cm="1">
        <f t="array" ref="B34:K36">Table19[]</f>
        <v>24</v>
      </c>
      <c r="C34" s="19" t="str">
        <v>Install fencing and gates.</v>
      </c>
      <c r="D34" s="19" t="str">
        <v>Installation</v>
      </c>
      <c r="E34" s="19" t="str">
        <v>Contractor</v>
      </c>
      <c r="F34" s="19">
        <v>2</v>
      </c>
      <c r="G34" s="52">
        <v>45819</v>
      </c>
      <c r="H34" s="52">
        <v>45821</v>
      </c>
      <c r="I34" s="19">
        <v>2</v>
      </c>
      <c r="J34" s="19" t="str">
        <v>In Progress</v>
      </c>
      <c r="K34" s="53">
        <v>0.7</v>
      </c>
    </row>
    <row r="35" spans="2:12" x14ac:dyDescent="0.3">
      <c r="B35" s="19">
        <v>25</v>
      </c>
      <c r="C35" s="19" t="str">
        <v>Conduct thorough inspections at each stage.</v>
      </c>
      <c r="D35" s="19" t="str">
        <v>Surveys</v>
      </c>
      <c r="E35" s="19" t="str">
        <v>Business Analyst</v>
      </c>
      <c r="F35" s="19">
        <v>2</v>
      </c>
      <c r="G35" s="52">
        <v>45823</v>
      </c>
      <c r="H35" s="52">
        <v>45825</v>
      </c>
      <c r="I35" s="19">
        <v>2</v>
      </c>
      <c r="J35" s="19" t="str">
        <v>Not Started</v>
      </c>
      <c r="K35" s="53">
        <v>0.1</v>
      </c>
    </row>
    <row r="36" spans="2:12" x14ac:dyDescent="0.3">
      <c r="B36" s="19">
        <v>26</v>
      </c>
      <c r="C36" s="19" t="str">
        <v>Monitor any issues or defects identified.</v>
      </c>
      <c r="D36" s="19" t="str">
        <v>Testing</v>
      </c>
      <c r="E36" s="19" t="str">
        <v>Business Analyst</v>
      </c>
      <c r="F36" s="19">
        <v>3</v>
      </c>
      <c r="G36" s="52">
        <v>45833</v>
      </c>
      <c r="H36" s="52">
        <v>45836</v>
      </c>
      <c r="I36" s="19">
        <v>2</v>
      </c>
      <c r="J36" s="19" t="str">
        <v>In Progress</v>
      </c>
      <c r="K36" s="53">
        <v>0.7</v>
      </c>
    </row>
    <row r="38" spans="2:12" ht="15" thickBot="1" x14ac:dyDescent="0.35"/>
    <row r="39" spans="2:12" x14ac:dyDescent="0.3">
      <c r="F39" s="39" t="s">
        <v>82</v>
      </c>
      <c r="G39" t="s">
        <v>134</v>
      </c>
      <c r="H39" t="s">
        <v>84</v>
      </c>
      <c r="J39" s="59" t="s">
        <v>137</v>
      </c>
      <c r="K39" s="60" t="s">
        <v>139</v>
      </c>
      <c r="L39" s="61" t="s">
        <v>9</v>
      </c>
    </row>
    <row r="40" spans="2:12" x14ac:dyDescent="0.3">
      <c r="F40" s="50" t="s">
        <v>21</v>
      </c>
      <c r="G40">
        <v>5</v>
      </c>
      <c r="H40">
        <v>5</v>
      </c>
      <c r="J40" s="56" t="s">
        <v>126</v>
      </c>
      <c r="K40" s="55">
        <f>'Sprint 1'!I5</f>
        <v>18</v>
      </c>
      <c r="L40" s="57">
        <f>'Sprint 1'!J5</f>
        <v>20</v>
      </c>
    </row>
    <row r="41" spans="2:12" x14ac:dyDescent="0.3">
      <c r="F41" s="50" t="s">
        <v>132</v>
      </c>
      <c r="G41">
        <v>5</v>
      </c>
      <c r="H41">
        <v>4</v>
      </c>
      <c r="J41" s="56" t="s">
        <v>125</v>
      </c>
      <c r="K41" s="54" cm="1">
        <f t="array" ref="K41:L41">'Sprint 2'!I5:J5</f>
        <v>21</v>
      </c>
      <c r="L41" s="58">
        <v>19</v>
      </c>
    </row>
    <row r="42" spans="2:12" x14ac:dyDescent="0.3">
      <c r="F42" s="50" t="s">
        <v>20</v>
      </c>
      <c r="G42">
        <v>34</v>
      </c>
      <c r="H42">
        <v>45</v>
      </c>
      <c r="J42" s="56" t="s">
        <v>138</v>
      </c>
      <c r="K42" s="54" cm="1">
        <f t="array" ref="K42:L42">'Sprint 3'!I5:J5</f>
        <v>21</v>
      </c>
      <c r="L42" s="58">
        <v>28</v>
      </c>
    </row>
    <row r="43" spans="2:12" x14ac:dyDescent="0.3">
      <c r="F43" s="50" t="s">
        <v>24</v>
      </c>
      <c r="G43">
        <v>30</v>
      </c>
      <c r="H43">
        <v>29</v>
      </c>
      <c r="J43" s="56" t="s">
        <v>127</v>
      </c>
      <c r="K43" s="54" cm="1">
        <f t="array" ref="K43:L43">'Sprint 4'!I5:J5</f>
        <v>24</v>
      </c>
      <c r="L43" s="58">
        <v>26</v>
      </c>
    </row>
    <row r="44" spans="2:12" x14ac:dyDescent="0.3">
      <c r="F44" s="50" t="s">
        <v>50</v>
      </c>
      <c r="G44">
        <v>3</v>
      </c>
      <c r="H44">
        <v>3</v>
      </c>
      <c r="J44" s="56" t="s">
        <v>128</v>
      </c>
      <c r="K44" s="54" cm="1">
        <f t="array" ref="K44:L44">'Sprint 5'!I5:J5</f>
        <v>18</v>
      </c>
      <c r="L44" s="58">
        <v>22</v>
      </c>
    </row>
    <row r="45" spans="2:12" x14ac:dyDescent="0.3">
      <c r="F45" s="50" t="s">
        <v>53</v>
      </c>
      <c r="G45">
        <v>13</v>
      </c>
      <c r="H45">
        <v>15</v>
      </c>
      <c r="J45" s="56" t="s">
        <v>129</v>
      </c>
      <c r="K45" s="54" cm="1">
        <f t="array" ref="K45:L45">'Sprint 6'!I5:J5</f>
        <v>13</v>
      </c>
      <c r="L45" s="58">
        <v>14</v>
      </c>
    </row>
    <row r="46" spans="2:12" x14ac:dyDescent="0.3">
      <c r="F46" s="50" t="s">
        <v>51</v>
      </c>
      <c r="G46">
        <v>13</v>
      </c>
      <c r="H46">
        <v>17</v>
      </c>
      <c r="J46" s="56" t="s">
        <v>130</v>
      </c>
      <c r="K46" s="54" cm="1">
        <f t="array" ref="K46:L46">'Sprint 7'!I5:J5</f>
        <v>8</v>
      </c>
      <c r="L46" s="58">
        <v>9</v>
      </c>
    </row>
    <row r="47" spans="2:12" ht="15" thickBot="1" x14ac:dyDescent="0.35">
      <c r="F47" s="50" t="s">
        <v>54</v>
      </c>
      <c r="G47">
        <v>3</v>
      </c>
      <c r="H47">
        <v>3</v>
      </c>
      <c r="J47" s="62" t="s">
        <v>131</v>
      </c>
      <c r="K47" s="63" cm="1">
        <f t="array" ref="K47:L47">'Sprint 8'!I5:J5</f>
        <v>7</v>
      </c>
      <c r="L47" s="64">
        <v>6</v>
      </c>
    </row>
    <row r="48" spans="2:12" ht="15" thickBot="1" x14ac:dyDescent="0.35">
      <c r="F48" s="50" t="s">
        <v>52</v>
      </c>
      <c r="G48">
        <v>3</v>
      </c>
      <c r="H48">
        <v>3</v>
      </c>
      <c r="J48" s="65" t="s">
        <v>140</v>
      </c>
      <c r="K48" s="66">
        <f>SUM(K40:K47)</f>
        <v>130</v>
      </c>
      <c r="L48" s="66">
        <f>SUM(L40:L47)</f>
        <v>144</v>
      </c>
    </row>
    <row r="49" spans="6:8" x14ac:dyDescent="0.3">
      <c r="F49" s="50" t="s">
        <v>25</v>
      </c>
      <c r="G49">
        <v>5</v>
      </c>
      <c r="H49">
        <v>5</v>
      </c>
    </row>
    <row r="50" spans="6:8" x14ac:dyDescent="0.3">
      <c r="F50" s="50" t="s">
        <v>22</v>
      </c>
      <c r="G50">
        <v>11</v>
      </c>
      <c r="H50">
        <v>9</v>
      </c>
    </row>
    <row r="51" spans="6:8" x14ac:dyDescent="0.3">
      <c r="F51" s="50" t="s">
        <v>49</v>
      </c>
      <c r="G51">
        <v>5</v>
      </c>
      <c r="H51">
        <v>6</v>
      </c>
    </row>
    <row r="52" spans="6:8" x14ac:dyDescent="0.3">
      <c r="F52" s="50" t="s">
        <v>83</v>
      </c>
      <c r="G52">
        <v>130</v>
      </c>
      <c r="H52">
        <v>144</v>
      </c>
    </row>
  </sheetData>
  <autoFilter ref="B7:K7" xr:uid="{431F0E5A-9DAD-479D-9427-F26B1728B2F1}"/>
  <mergeCells count="1">
    <mergeCell ref="B1:K1"/>
  </mergeCells>
  <phoneticPr fontId="11" type="noConversion"/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155192-3FDC-40F1-851D-1D86952DC88C}">
          <x14:formula1>
            <xm:f>Dropdown_keys!$B$4:$B$10</xm:f>
          </x14:formula1>
          <xm:sqref>J8:J36</xm:sqref>
        </x14:dataValidation>
        <x14:dataValidation type="list" allowBlank="1" showInputMessage="1" showErrorMessage="1" xr:uid="{62FDC2C5-28A8-4E08-BB0D-11ABD8183A4F}">
          <x14:formula1>
            <xm:f>Dropdown_keys!$H$4:$H$15</xm:f>
          </x14:formula1>
          <xm:sqref>E8:E36</xm:sqref>
        </x14:dataValidation>
        <x14:dataValidation type="list" allowBlank="1" showInputMessage="1" showErrorMessage="1" xr:uid="{C39F6992-50E9-40CD-8450-4D88DA17B890}">
          <x14:formula1>
            <xm:f>Dropdown_keys!$F$4:$F$15</xm:f>
          </x14:formula1>
          <xm:sqref>D8:D36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2D8E-E15C-4FF9-A70D-9AAFFB0AB1FA}">
  <dimension ref="B3:H15"/>
  <sheetViews>
    <sheetView workbookViewId="0">
      <selection activeCell="C3" sqref="C3"/>
    </sheetView>
  </sheetViews>
  <sheetFormatPr defaultRowHeight="14.4" x14ac:dyDescent="0.3"/>
  <cols>
    <col min="2" max="2" width="12.44140625" bestFit="1" customWidth="1"/>
    <col min="3" max="3" width="11.44140625" bestFit="1" customWidth="1"/>
    <col min="4" max="4" width="12" bestFit="1" customWidth="1"/>
    <col min="6" max="6" width="15" bestFit="1" customWidth="1"/>
    <col min="8" max="8" width="21.88671875" bestFit="1" customWidth="1"/>
  </cols>
  <sheetData>
    <row r="3" spans="2:8" ht="18" x14ac:dyDescent="0.35">
      <c r="B3" s="16" t="s">
        <v>10</v>
      </c>
      <c r="D3" s="17" t="s">
        <v>26</v>
      </c>
      <c r="F3" s="17" t="s">
        <v>56</v>
      </c>
      <c r="H3" s="17" t="s">
        <v>7</v>
      </c>
    </row>
    <row r="4" spans="2:8" x14ac:dyDescent="0.3">
      <c r="B4" s="12" t="s">
        <v>11</v>
      </c>
      <c r="C4" s="35">
        <v>0</v>
      </c>
      <c r="D4" s="9" t="s">
        <v>27</v>
      </c>
      <c r="F4" s="23" t="s">
        <v>57</v>
      </c>
      <c r="H4" s="47" t="s">
        <v>22</v>
      </c>
    </row>
    <row r="5" spans="2:8" x14ac:dyDescent="0.3">
      <c r="B5" s="10" t="s">
        <v>12</v>
      </c>
      <c r="C5" s="35">
        <v>0.2</v>
      </c>
      <c r="D5" s="8" t="s">
        <v>28</v>
      </c>
      <c r="F5" s="24" t="s">
        <v>58</v>
      </c>
      <c r="H5" s="27" t="s">
        <v>21</v>
      </c>
    </row>
    <row r="6" spans="2:8" x14ac:dyDescent="0.3">
      <c r="B6" s="11" t="s">
        <v>13</v>
      </c>
      <c r="C6" s="35">
        <v>1</v>
      </c>
      <c r="D6" s="7" t="s">
        <v>29</v>
      </c>
      <c r="F6" s="18" t="s">
        <v>59</v>
      </c>
      <c r="H6" s="12" t="s">
        <v>24</v>
      </c>
    </row>
    <row r="7" spans="2:8" x14ac:dyDescent="0.3">
      <c r="B7" s="13" t="s">
        <v>30</v>
      </c>
      <c r="C7" s="35">
        <v>0.8</v>
      </c>
      <c r="F7" s="25" t="s">
        <v>60</v>
      </c>
      <c r="H7" s="32" t="s">
        <v>20</v>
      </c>
    </row>
    <row r="8" spans="2:8" x14ac:dyDescent="0.3">
      <c r="B8" s="9" t="s">
        <v>31</v>
      </c>
      <c r="C8" s="35">
        <v>0.9</v>
      </c>
      <c r="F8" s="26" t="s">
        <v>72</v>
      </c>
      <c r="H8" s="1" t="s">
        <v>49</v>
      </c>
    </row>
    <row r="9" spans="2:8" x14ac:dyDescent="0.3">
      <c r="B9" s="14" t="s">
        <v>32</v>
      </c>
      <c r="C9" s="35">
        <v>0.1</v>
      </c>
      <c r="F9" s="27" t="s">
        <v>73</v>
      </c>
      <c r="H9" s="12" t="s">
        <v>50</v>
      </c>
    </row>
    <row r="10" spans="2:8" x14ac:dyDescent="0.3">
      <c r="B10" s="15" t="s">
        <v>33</v>
      </c>
      <c r="C10" s="35">
        <v>0.5</v>
      </c>
      <c r="F10" s="32" t="s">
        <v>74</v>
      </c>
      <c r="H10" s="48" t="s">
        <v>25</v>
      </c>
    </row>
    <row r="11" spans="2:8" x14ac:dyDescent="0.3">
      <c r="F11" s="33" t="s">
        <v>75</v>
      </c>
      <c r="H11" s="49" t="s">
        <v>51</v>
      </c>
    </row>
    <row r="12" spans="2:8" x14ac:dyDescent="0.3">
      <c r="F12" s="34" t="s">
        <v>76</v>
      </c>
      <c r="H12" s="33" t="s">
        <v>53</v>
      </c>
    </row>
    <row r="13" spans="2:8" x14ac:dyDescent="0.3">
      <c r="F13" s="24" t="s">
        <v>77</v>
      </c>
      <c r="H13" s="19" t="s">
        <v>54</v>
      </c>
    </row>
    <row r="14" spans="2:8" x14ac:dyDescent="0.3">
      <c r="F14" s="9" t="s">
        <v>78</v>
      </c>
      <c r="H14" s="26" t="s">
        <v>52</v>
      </c>
    </row>
    <row r="15" spans="2:8" x14ac:dyDescent="0.3">
      <c r="F15" s="25" t="s">
        <v>79</v>
      </c>
      <c r="H15" s="48" t="s">
        <v>132</v>
      </c>
    </row>
  </sheetData>
  <conditionalFormatting sqref="B4">
    <cfRule type="containsText" dxfId="9" priority="10" operator="containsText" text="Not Started">
      <formula>NOT(ISERROR(SEARCH("Not Started",B4)))</formula>
    </cfRule>
  </conditionalFormatting>
  <conditionalFormatting sqref="B5">
    <cfRule type="containsText" dxfId="8" priority="9" operator="containsText" text="In Progress">
      <formula>NOT(ISERROR(SEARCH("In Progress",B5)))</formula>
    </cfRule>
  </conditionalFormatting>
  <conditionalFormatting sqref="B6">
    <cfRule type="containsText" dxfId="7" priority="8" operator="containsText" text="Done">
      <formula>NOT(ISERROR(SEARCH("Done",B6)))</formula>
    </cfRule>
  </conditionalFormatting>
  <conditionalFormatting sqref="B7">
    <cfRule type="containsText" dxfId="6" priority="7" operator="containsText" text="Overdue">
      <formula>NOT(ISERROR(SEARCH("Overdue",B7)))</formula>
    </cfRule>
  </conditionalFormatting>
  <conditionalFormatting sqref="B8">
    <cfRule type="containsText" dxfId="5" priority="6" operator="containsText" text="Needs Review">
      <formula>NOT(ISERROR(SEARCH("Needs Review",B8)))</formula>
    </cfRule>
  </conditionalFormatting>
  <conditionalFormatting sqref="B9">
    <cfRule type="containsText" dxfId="4" priority="5" operator="containsText" text="Approved">
      <formula>NOT(ISERROR(SEARCH("Approved",B9)))</formula>
    </cfRule>
  </conditionalFormatting>
  <conditionalFormatting sqref="B10">
    <cfRule type="containsText" dxfId="3" priority="4" operator="containsText" text="On Hold">
      <formula>NOT(ISERROR(SEARCH("On Hold",B10)))</formula>
    </cfRule>
  </conditionalFormatting>
  <conditionalFormatting sqref="D4">
    <cfRule type="containsText" dxfId="2" priority="3" operator="containsText" text="Low">
      <formula>NOT(ISERROR(SEARCH("Low",D4)))</formula>
    </cfRule>
  </conditionalFormatting>
  <conditionalFormatting sqref="D5">
    <cfRule type="containsText" dxfId="1" priority="2" operator="containsText" text="Medium">
      <formula>NOT(ISERROR(SEARCH("Medium",D5)))</formula>
    </cfRule>
  </conditionalFormatting>
  <conditionalFormatting sqref="D6">
    <cfRule type="containsText" dxfId="0" priority="1" operator="containsText" text="High">
      <formula>NOT(ISERROR(SEARCH("High",D6)))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 Backlog</vt:lpstr>
      <vt:lpstr>Estimated Budget</vt:lpstr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C.sprint</vt:lpstr>
      <vt:lpstr>Dropdown_keys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Mendhe</dc:creator>
  <cp:lastModifiedBy>Dipali Mendhe</cp:lastModifiedBy>
  <dcterms:created xsi:type="dcterms:W3CDTF">2025-01-30T08:26:36Z</dcterms:created>
  <dcterms:modified xsi:type="dcterms:W3CDTF">2025-02-13T09:40:11Z</dcterms:modified>
</cp:coreProperties>
</file>