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D098B729-05F1-7843-8438-E8E2F8680D4D}" xr6:coauthVersionLast="47" xr6:coauthVersionMax="47" xr10:uidLastSave="{00000000-0000-0000-0000-000000000000}"/>
  <bookViews>
    <workbookView xWindow="0" yWindow="480" windowWidth="38400" windowHeight="21120" activeTab="1" xr2:uid="{C375F459-613A-E64E-A7C0-D28A192B58C4}"/>
  </bookViews>
  <sheets>
    <sheet name="Benchmark--Perf--Energy" sheetId="1" r:id="rId1"/>
    <sheet name="Data-Complete" sheetId="7" r:id="rId2"/>
    <sheet name="Comparison" sheetId="4" r:id="rId3"/>
    <sheet name="Plo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7" l="1"/>
  <c r="I32" i="7"/>
  <c r="I24" i="7"/>
  <c r="I16" i="7"/>
  <c r="I8" i="7"/>
  <c r="D62" i="7"/>
  <c r="G33" i="7"/>
  <c r="G25" i="7"/>
  <c r="G17" i="7"/>
  <c r="F9" i="7"/>
  <c r="G9" i="7"/>
  <c r="C43" i="7"/>
  <c r="C44" i="7"/>
  <c r="C45" i="7"/>
  <c r="C46" i="7"/>
  <c r="C42" i="7"/>
  <c r="H61" i="7"/>
  <c r="J61" i="7" s="1"/>
  <c r="D4" i="7"/>
  <c r="D5" i="7"/>
  <c r="C5" i="7" s="1"/>
  <c r="D6" i="7"/>
  <c r="D7" i="7"/>
  <c r="D3" i="7"/>
  <c r="D9" i="7" s="1"/>
  <c r="D28" i="7"/>
  <c r="D29" i="7"/>
  <c r="D30" i="7"/>
  <c r="D31" i="7"/>
  <c r="D32" i="7"/>
  <c r="D27" i="7"/>
  <c r="D33" i="7" s="1"/>
  <c r="D20" i="7"/>
  <c r="D21" i="7"/>
  <c r="D22" i="7"/>
  <c r="D23" i="7"/>
  <c r="D19" i="7"/>
  <c r="D25" i="7" s="1"/>
  <c r="N32" i="7"/>
  <c r="O32" i="7"/>
  <c r="E24" i="7"/>
  <c r="D24" i="7" s="1"/>
  <c r="G24" i="7"/>
  <c r="F24" i="7"/>
  <c r="D16" i="7"/>
  <c r="N16" i="7"/>
  <c r="O16" i="7"/>
  <c r="D12" i="7"/>
  <c r="D13" i="7"/>
  <c r="D14" i="7"/>
  <c r="D15" i="7"/>
  <c r="D11" i="7"/>
  <c r="D17" i="7" s="1"/>
  <c r="E8" i="7"/>
  <c r="H8" i="7" s="1"/>
  <c r="H4" i="7"/>
  <c r="J4" i="7" s="1"/>
  <c r="H5" i="7"/>
  <c r="J5" i="7" s="1"/>
  <c r="K5" i="7" s="1"/>
  <c r="H6" i="7"/>
  <c r="J6" i="7" s="1"/>
  <c r="H7" i="7"/>
  <c r="J7" i="7" s="1"/>
  <c r="H11" i="7"/>
  <c r="P11" i="7" s="1"/>
  <c r="H12" i="7"/>
  <c r="J12" i="7" s="1"/>
  <c r="H13" i="7"/>
  <c r="J13" i="7" s="1"/>
  <c r="K13" i="7" s="1"/>
  <c r="H14" i="7"/>
  <c r="H15" i="7"/>
  <c r="J15" i="7" s="1"/>
  <c r="H16" i="7"/>
  <c r="J16" i="7" s="1"/>
  <c r="H19" i="7"/>
  <c r="J19" i="7" s="1"/>
  <c r="H20" i="7"/>
  <c r="J20" i="7" s="1"/>
  <c r="H21" i="7"/>
  <c r="J21" i="7" s="1"/>
  <c r="K21" i="7" s="1"/>
  <c r="H32" i="7"/>
  <c r="J32" i="7" s="1"/>
  <c r="H34" i="7"/>
  <c r="H35" i="7"/>
  <c r="H36" i="7"/>
  <c r="J36" i="7" s="1"/>
  <c r="K36" i="7" s="1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3" i="7"/>
  <c r="P3" i="7" s="1"/>
  <c r="I35" i="1"/>
  <c r="I36" i="1"/>
  <c r="I37" i="1"/>
  <c r="I38" i="1"/>
  <c r="I39" i="1"/>
  <c r="I34" i="1"/>
  <c r="F27" i="7"/>
  <c r="H27" i="7" s="1"/>
  <c r="F31" i="7"/>
  <c r="H31" i="7" s="1"/>
  <c r="J31" i="7" s="1"/>
  <c r="F30" i="7"/>
  <c r="H30" i="7" s="1"/>
  <c r="J30" i="7" s="1"/>
  <c r="F29" i="7"/>
  <c r="H29" i="7" s="1"/>
  <c r="J29" i="7" s="1"/>
  <c r="F28" i="7"/>
  <c r="H28" i="7" s="1"/>
  <c r="J28" i="7" s="1"/>
  <c r="F22" i="7"/>
  <c r="H22" i="7" s="1"/>
  <c r="F23" i="7"/>
  <c r="H23" i="7" s="1"/>
  <c r="J23" i="7" s="1"/>
  <c r="D52" i="7"/>
  <c r="D59" i="7"/>
  <c r="O28" i="7"/>
  <c r="O29" i="7"/>
  <c r="O30" i="7"/>
  <c r="O31" i="7"/>
  <c r="O27" i="7"/>
  <c r="N28" i="7"/>
  <c r="N29" i="7"/>
  <c r="N30" i="7"/>
  <c r="N31" i="7"/>
  <c r="N27" i="7"/>
  <c r="O20" i="7"/>
  <c r="O21" i="7"/>
  <c r="O22" i="7"/>
  <c r="O23" i="7"/>
  <c r="O19" i="7"/>
  <c r="N20" i="7"/>
  <c r="N21" i="7"/>
  <c r="N22" i="7"/>
  <c r="N23" i="7"/>
  <c r="N19" i="7"/>
  <c r="O12" i="7"/>
  <c r="O13" i="7"/>
  <c r="O14" i="7"/>
  <c r="O15" i="7"/>
  <c r="O11" i="7"/>
  <c r="N12" i="7"/>
  <c r="N13" i="7"/>
  <c r="N14" i="7"/>
  <c r="N15" i="7"/>
  <c r="N11" i="7"/>
  <c r="O4" i="7"/>
  <c r="O5" i="7"/>
  <c r="O6" i="7"/>
  <c r="O7" i="7"/>
  <c r="O3" i="7"/>
  <c r="N4" i="7"/>
  <c r="N5" i="7"/>
  <c r="N6" i="7"/>
  <c r="N7" i="7"/>
  <c r="N3" i="7"/>
  <c r="S7" i="4"/>
  <c r="T7" i="4"/>
  <c r="U7" i="4"/>
  <c r="R7" i="4"/>
  <c r="S13" i="4"/>
  <c r="T13" i="4"/>
  <c r="U13" i="4"/>
  <c r="R13" i="4"/>
  <c r="S6" i="4"/>
  <c r="T6" i="4"/>
  <c r="U6" i="4"/>
  <c r="R6" i="4"/>
  <c r="I61" i="7" l="1"/>
  <c r="K38" i="7"/>
  <c r="C3" i="7"/>
  <c r="C9" i="7" s="1"/>
  <c r="K6" i="7"/>
  <c r="H24" i="7"/>
  <c r="J24" i="7" s="1"/>
  <c r="K24" i="7" s="1"/>
  <c r="C7" i="7"/>
  <c r="C4" i="7"/>
  <c r="C6" i="7"/>
  <c r="D8" i="7"/>
  <c r="K37" i="7"/>
  <c r="K7" i="7"/>
  <c r="K32" i="7"/>
  <c r="L32" i="7"/>
  <c r="L16" i="7"/>
  <c r="K16" i="7"/>
  <c r="K4" i="7"/>
  <c r="K23" i="7"/>
  <c r="J8" i="7"/>
  <c r="K8" i="7" s="1"/>
  <c r="J39" i="7"/>
  <c r="K12" i="7"/>
  <c r="K19" i="7"/>
  <c r="J42" i="7"/>
  <c r="K15" i="7"/>
  <c r="K20" i="7"/>
  <c r="K29" i="7"/>
  <c r="K31" i="7"/>
  <c r="K30" i="7"/>
  <c r="K28" i="7"/>
  <c r="J35" i="7"/>
  <c r="J53" i="7"/>
  <c r="P31" i="7"/>
  <c r="J52" i="7"/>
  <c r="Q5" i="7"/>
  <c r="J49" i="7"/>
  <c r="J50" i="7"/>
  <c r="J46" i="7"/>
  <c r="J57" i="7"/>
  <c r="J60" i="7"/>
  <c r="L61" i="7" s="1"/>
  <c r="J59" i="7"/>
  <c r="J58" i="7"/>
  <c r="J43" i="7"/>
  <c r="L28" i="7"/>
  <c r="Q20" i="7"/>
  <c r="L12" i="7"/>
  <c r="L13" i="7"/>
  <c r="L15" i="7"/>
  <c r="L21" i="7"/>
  <c r="L19" i="7"/>
  <c r="L20" i="7"/>
  <c r="L23" i="7"/>
  <c r="L5" i="7"/>
  <c r="L4" i="7"/>
  <c r="L7" i="7"/>
  <c r="J22" i="7"/>
  <c r="Q11" i="7"/>
  <c r="L30" i="7"/>
  <c r="L29" i="7"/>
  <c r="J3" i="7"/>
  <c r="L31" i="7"/>
  <c r="J14" i="7"/>
  <c r="P5" i="7"/>
  <c r="P13" i="7"/>
  <c r="P7" i="7"/>
  <c r="P14" i="7"/>
  <c r="P12" i="7"/>
  <c r="P15" i="7"/>
  <c r="P4" i="7"/>
  <c r="P20" i="7"/>
  <c r="Q12" i="7"/>
  <c r="Q28" i="7"/>
  <c r="Q13" i="7"/>
  <c r="J27" i="7"/>
  <c r="J11" i="7"/>
  <c r="Q4" i="7"/>
  <c r="P19" i="7"/>
  <c r="P27" i="7"/>
  <c r="P23" i="7"/>
  <c r="P30" i="7"/>
  <c r="P6" i="7"/>
  <c r="P22" i="7"/>
  <c r="P29" i="7"/>
  <c r="P21" i="7"/>
  <c r="P28" i="7"/>
  <c r="Q27" i="7"/>
  <c r="Q31" i="7"/>
  <c r="Q3" i="7"/>
  <c r="Q19" i="7"/>
  <c r="Q7" i="7"/>
  <c r="Q15" i="7"/>
  <c r="Q23" i="7"/>
  <c r="Q6" i="7"/>
  <c r="Q14" i="7"/>
  <c r="Q22" i="7"/>
  <c r="Q30" i="7"/>
  <c r="Q29" i="7"/>
  <c r="Q21" i="7"/>
  <c r="B31" i="3"/>
  <c r="C31" i="3"/>
  <c r="F23" i="3"/>
  <c r="E23" i="3"/>
  <c r="F11" i="3"/>
  <c r="E11" i="3"/>
  <c r="W4" i="4"/>
  <c r="W3" i="4"/>
  <c r="V3" i="4"/>
  <c r="V4" i="4"/>
  <c r="D20" i="4"/>
  <c r="F9" i="3"/>
  <c r="E8" i="3"/>
  <c r="E9" i="3"/>
  <c r="B25" i="3"/>
  <c r="D17" i="4"/>
  <c r="K49" i="7" l="1"/>
  <c r="K52" i="7"/>
  <c r="K42" i="7"/>
  <c r="K43" i="7"/>
  <c r="K45" i="7"/>
  <c r="K44" i="7"/>
  <c r="L53" i="7"/>
  <c r="K53" i="7"/>
  <c r="L35" i="7"/>
  <c r="K35" i="7"/>
  <c r="K58" i="7"/>
  <c r="K61" i="7"/>
  <c r="K59" i="7"/>
  <c r="L36" i="7"/>
  <c r="K39" i="7"/>
  <c r="K60" i="7"/>
  <c r="K57" i="7"/>
  <c r="L46" i="7"/>
  <c r="K46" i="7"/>
  <c r="K50" i="7"/>
  <c r="K51" i="7"/>
  <c r="L39" i="7"/>
  <c r="L22" i="7"/>
  <c r="K22" i="7"/>
  <c r="L11" i="7"/>
  <c r="K11" i="7"/>
  <c r="L27" i="7"/>
  <c r="K27" i="7"/>
  <c r="L14" i="7"/>
  <c r="K14" i="7"/>
  <c r="L49" i="7"/>
  <c r="L6" i="7"/>
  <c r="L3" i="7"/>
  <c r="K3" i="7"/>
  <c r="L57" i="7"/>
  <c r="L42" i="7"/>
  <c r="L52" i="7"/>
  <c r="L50" i="7"/>
  <c r="L58" i="7"/>
  <c r="L43" i="7"/>
  <c r="L59" i="7"/>
  <c r="L60" i="7"/>
  <c r="L36" i="1"/>
  <c r="G48" i="1"/>
  <c r="H48" i="1" s="1"/>
  <c r="K43" i="1"/>
  <c r="J41" i="1"/>
  <c r="J42" i="1"/>
  <c r="J43" i="1"/>
  <c r="G43" i="1"/>
  <c r="H43" i="1"/>
  <c r="G42" i="1"/>
  <c r="H42" i="1" s="1"/>
  <c r="G40" i="1"/>
  <c r="G41" i="1"/>
  <c r="H41" i="1" s="1"/>
  <c r="G39" i="1"/>
  <c r="K39" i="1" s="1"/>
  <c r="J39" i="1"/>
  <c r="G38" i="1"/>
  <c r="H38" i="1" s="1"/>
  <c r="J38" i="1"/>
  <c r="J37" i="1"/>
  <c r="G37" i="1"/>
  <c r="K37" i="1" s="1"/>
  <c r="G47" i="1"/>
  <c r="H47" i="1" s="1"/>
  <c r="J35" i="1"/>
  <c r="J36" i="1"/>
  <c r="L39" i="1" s="1"/>
  <c r="J34" i="1"/>
  <c r="G46" i="1"/>
  <c r="H46" i="1" s="1"/>
  <c r="G45" i="1"/>
  <c r="H45" i="1" s="1"/>
  <c r="G36" i="1"/>
  <c r="H36" i="1" s="1"/>
  <c r="G34" i="1"/>
  <c r="K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K41" i="1" l="1"/>
  <c r="K42" i="1"/>
  <c r="J51" i="1"/>
  <c r="H39" i="1"/>
  <c r="H37" i="1"/>
  <c r="K38" i="1"/>
  <c r="H34" i="1"/>
  <c r="K36" i="1"/>
  <c r="K35" i="1"/>
</calcChain>
</file>

<file path=xl/sharedStrings.xml><?xml version="1.0" encoding="utf-8"?>
<sst xmlns="http://schemas.openxmlformats.org/spreadsheetml/2006/main" count="244" uniqueCount="122">
  <si>
    <t>Benchmark</t>
  </si>
  <si>
    <t>Setting</t>
  </si>
  <si>
    <t>Performance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</si>
  <si>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</si>
  <si>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</si>
  <si>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</si>
  <si>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</si>
  <si>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</si>
  <si>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</si>
  <si>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</si>
  <si>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</si>
  <si>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</si>
  <si>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</si>
  <si>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</si>
  <si>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</si>
  <si>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</si>
  <si>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</si>
  <si>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</si>
  <si>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</si>
  <si>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</si>
  <si>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</si>
  <si>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</si>
  <si>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</si>
  <si>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</si>
  <si>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</si>
  <si>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</si>
  <si>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</si>
  <si>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</si>
  <si>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</si>
  <si>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</si>
  <si>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</si>
  <si>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</si>
  <si>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</si>
  <si>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</si>
  <si>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</si>
  <si>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</si>
  <si>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</si>
  <si>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</si>
  <si>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</si>
  <si>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</si>
  <si>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</si>
  <si>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</si>
  <si>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</si>
  <si>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</si>
  <si>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</si>
  <si>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</si>
  <si>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</si>
  <si>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</si>
  <si>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</si>
  <si>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</si>
  <si>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</si>
  <si>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</si>
  <si>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</si>
  <si>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</si>
  <si>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</si>
  <si>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</si>
  <si>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</si>
  <si>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</si>
  <si>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</si>
  <si>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</si>
  <si>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</si>
  <si>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</si>
  <si>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</si>
  <si>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</si>
  <si>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</si>
  <si>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</si>
  <si>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</si>
  <si>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</si>
  <si>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</si>
  <si>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</si>
  <si>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Lamp_NU0.5(GPU)</t>
  </si>
  <si>
    <t>Idle : 3.7</t>
  </si>
  <si>
    <t>Lamp_NU0.5(CPU)</t>
  </si>
  <si>
    <t>Lamp_NU0.5(Mem)</t>
  </si>
  <si>
    <t>Odorid_Antutu_Mem0.5</t>
  </si>
  <si>
    <t>Odorid_Antutu_CPU0.5</t>
  </si>
  <si>
    <t>Odorid_Antutu_GPU0.5</t>
  </si>
  <si>
    <t>Pow GPU</t>
  </si>
  <si>
    <t>Pow CPU</t>
  </si>
  <si>
    <t>Pow UX</t>
  </si>
  <si>
    <t>Pow Mem</t>
  </si>
  <si>
    <t>Lamp_Default(CPU)</t>
  </si>
  <si>
    <t>Lamp_Default(Mem)</t>
  </si>
  <si>
    <t>Odorid_Antutu_Mem2</t>
  </si>
  <si>
    <t>Odorid_Antutu_CPU2</t>
  </si>
  <si>
    <t>Lamp_Default(GPU)</t>
  </si>
  <si>
    <t>Odorid_Antutu_GPU2</t>
  </si>
  <si>
    <t>Lamp_Default(CPU)_1</t>
  </si>
  <si>
    <t>Lamp_Default(CPU)_Small</t>
  </si>
  <si>
    <t>Odorid_Antutu_CPU2_Small</t>
  </si>
  <si>
    <t>Odorid_Antutu_CPU2_1</t>
  </si>
  <si>
    <t>glmark</t>
  </si>
  <si>
    <t>chai</t>
  </si>
  <si>
    <t>glmark2.                .</t>
  </si>
  <si>
    <t>rodinia.                 .</t>
  </si>
  <si>
    <t>Governor</t>
  </si>
  <si>
    <t>Powersave</t>
  </si>
  <si>
    <t>LAMP</t>
  </si>
  <si>
    <t>Power(W)</t>
  </si>
  <si>
    <t>SSSP</t>
  </si>
  <si>
    <t>HSTO</t>
  </si>
  <si>
    <t>Schedutil</t>
  </si>
  <si>
    <t>Energy(J)</t>
  </si>
  <si>
    <t>HSTI</t>
  </si>
  <si>
    <t>TRNS</t>
  </si>
  <si>
    <t>AnTuTu : CPU</t>
  </si>
  <si>
    <t>AnTuTu : GPU</t>
  </si>
  <si>
    <t>Perf-OD</t>
  </si>
  <si>
    <t>Perf-P</t>
  </si>
  <si>
    <t>Eng-OD</t>
  </si>
  <si>
    <t>Eno-Ps</t>
  </si>
  <si>
    <t>Perf/Energy</t>
  </si>
  <si>
    <t>Comparision with LAMP</t>
  </si>
  <si>
    <t>Perf_Score</t>
  </si>
  <si>
    <t>AnTuTu : Mem</t>
  </si>
  <si>
    <t>Latency</t>
  </si>
  <si>
    <t>Norm</t>
  </si>
  <si>
    <t>coCap</t>
  </si>
  <si>
    <t>CoCap</t>
  </si>
  <si>
    <t>Pow-Eff</t>
  </si>
  <si>
    <t>PowEff</t>
  </si>
  <si>
    <t>Norm_Perf_Score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</si>
</sst>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L56"/>
  <sheetViews>
    <sheetView topLeftCell="A12" zoomScaleNormal="100" workbookViewId="0">
      <selection activeCell="E47" sqref="E47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9" width="22.1640625" customWidth="1"/>
    <col min="10" max="10" width="37.1640625" customWidth="1"/>
    <col min="12" max="12" width="50" customWidth="1"/>
  </cols>
  <sheetData>
    <row r="1" spans="1:11" x14ac:dyDescent="0.2">
      <c r="A1" s="1" t="s">
        <v>0</v>
      </c>
      <c r="B1" s="1" t="s">
        <v>1</v>
      </c>
      <c r="C1" s="1" t="s">
        <v>17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12</v>
      </c>
      <c r="I1" s="1"/>
      <c r="J1" s="1" t="s">
        <v>8</v>
      </c>
      <c r="K1" s="1" t="s">
        <v>14</v>
      </c>
    </row>
    <row r="3" spans="1:11" x14ac:dyDescent="0.2">
      <c r="A3" t="s">
        <v>10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J3" t="s">
        <v>9</v>
      </c>
      <c r="K3">
        <v>0</v>
      </c>
    </row>
    <row r="4" spans="1:11" x14ac:dyDescent="0.2">
      <c r="A4" t="s">
        <v>10</v>
      </c>
      <c r="B4" t="s">
        <v>7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J4" t="s">
        <v>9</v>
      </c>
      <c r="K4">
        <v>0</v>
      </c>
    </row>
    <row r="5" spans="1:11" x14ac:dyDescent="0.2">
      <c r="A5" t="s">
        <v>10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J5" t="s">
        <v>13</v>
      </c>
      <c r="K5">
        <v>0</v>
      </c>
    </row>
    <row r="6" spans="1:11" x14ac:dyDescent="0.2">
      <c r="A6" t="s">
        <v>10</v>
      </c>
      <c r="B6" t="s">
        <v>7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J6" t="s">
        <v>13</v>
      </c>
      <c r="K6">
        <v>0</v>
      </c>
    </row>
    <row r="8" spans="1:11" x14ac:dyDescent="0.2">
      <c r="A8" t="s">
        <v>15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J8" t="s">
        <v>16</v>
      </c>
    </row>
    <row r="9" spans="1:11" x14ac:dyDescent="0.2">
      <c r="A9" t="s">
        <v>15</v>
      </c>
      <c r="B9" t="s">
        <v>7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J9" t="s">
        <v>16</v>
      </c>
    </row>
    <row r="10" spans="1:11" x14ac:dyDescent="0.2">
      <c r="A10" t="s">
        <v>15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J10" t="s">
        <v>18</v>
      </c>
    </row>
    <row r="11" spans="1:11" x14ac:dyDescent="0.2">
      <c r="A11" t="s">
        <v>15</v>
      </c>
      <c r="B11" t="s">
        <v>7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J11" t="s">
        <v>18</v>
      </c>
    </row>
    <row r="13" spans="1:11" x14ac:dyDescent="0.2">
      <c r="A13" s="5" t="s">
        <v>19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t="s">
        <v>10</v>
      </c>
      <c r="B14" t="s">
        <v>3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J14" t="s">
        <v>9</v>
      </c>
      <c r="K14">
        <v>0.06</v>
      </c>
    </row>
    <row r="15" spans="1:11" x14ac:dyDescent="0.2">
      <c r="A15" t="s">
        <v>10</v>
      </c>
      <c r="B15" t="s">
        <v>3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J15" t="s">
        <v>13</v>
      </c>
      <c r="K15">
        <v>0.06</v>
      </c>
    </row>
    <row r="17" spans="1:12" x14ac:dyDescent="0.2">
      <c r="A17" t="s">
        <v>15</v>
      </c>
      <c r="B17" t="s">
        <v>3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J17" t="s">
        <v>16</v>
      </c>
      <c r="K17">
        <v>0.02</v>
      </c>
    </row>
    <row r="18" spans="1:12" x14ac:dyDescent="0.2">
      <c r="A18" t="s">
        <v>15</v>
      </c>
      <c r="B18" t="s">
        <v>3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J18" t="s">
        <v>18</v>
      </c>
      <c r="K18">
        <v>0.02</v>
      </c>
    </row>
    <row r="19" spans="1:12" x14ac:dyDescent="0.2">
      <c r="A19" s="5" t="s">
        <v>20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2" x14ac:dyDescent="0.2">
      <c r="A20" t="s">
        <v>10</v>
      </c>
      <c r="B20" t="s">
        <v>3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J20" t="s">
        <v>9</v>
      </c>
      <c r="K20">
        <v>0.11</v>
      </c>
    </row>
    <row r="21" spans="1:12" x14ac:dyDescent="0.2">
      <c r="A21" t="s">
        <v>10</v>
      </c>
      <c r="B21" t="s">
        <v>3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J21" t="s">
        <v>21</v>
      </c>
      <c r="K21">
        <v>0.11</v>
      </c>
    </row>
    <row r="23" spans="1:12" x14ac:dyDescent="0.2">
      <c r="A23" t="s">
        <v>15</v>
      </c>
      <c r="B23" t="s">
        <v>3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J23" t="s">
        <v>16</v>
      </c>
      <c r="K23">
        <v>0.1</v>
      </c>
    </row>
    <row r="24" spans="1:12" x14ac:dyDescent="0.2">
      <c r="A24" t="s">
        <v>15</v>
      </c>
      <c r="B24" t="s">
        <v>3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J24" t="s">
        <v>23</v>
      </c>
      <c r="K24">
        <v>0.11</v>
      </c>
    </row>
    <row r="26" spans="1:12" x14ac:dyDescent="0.2">
      <c r="A26" s="5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2" x14ac:dyDescent="0.2">
      <c r="A27" t="s">
        <v>10</v>
      </c>
      <c r="B27" t="s">
        <v>3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J27" t="s">
        <v>9</v>
      </c>
      <c r="K27">
        <v>0.34</v>
      </c>
      <c r="L27" t="s">
        <v>24</v>
      </c>
    </row>
    <row r="28" spans="1:12" x14ac:dyDescent="0.2">
      <c r="A28" t="s">
        <v>25</v>
      </c>
      <c r="B28" t="s">
        <v>3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J28" t="s">
        <v>16</v>
      </c>
      <c r="K28">
        <v>0.3</v>
      </c>
      <c r="L28" t="s">
        <v>24</v>
      </c>
    </row>
    <row r="33" spans="1:12" x14ac:dyDescent="0.2">
      <c r="A33" t="s">
        <v>26</v>
      </c>
      <c r="J33" t="s">
        <v>2</v>
      </c>
      <c r="K33" t="s">
        <v>31</v>
      </c>
    </row>
    <row r="34" spans="1:12" x14ac:dyDescent="0.2">
      <c r="A34" t="s">
        <v>27</v>
      </c>
      <c r="B34" t="s">
        <v>28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J34/$J$36</f>
        <v>0.495</v>
      </c>
      <c r="J34">
        <f>100/D34</f>
        <v>0.7142857142857143</v>
      </c>
      <c r="K34">
        <f>G34</f>
        <v>0.99999999999999956</v>
      </c>
    </row>
    <row r="35" spans="1:12" x14ac:dyDescent="0.2">
      <c r="A35" t="s">
        <v>27</v>
      </c>
      <c r="B35" t="s">
        <v>29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39" si="4">J35/$J$36</f>
        <v>0.79381443298969068</v>
      </c>
      <c r="J35">
        <f t="shared" ref="J35:J43" si="5">100/D35</f>
        <v>1.1454753722794959</v>
      </c>
      <c r="K35">
        <f t="shared" ref="K35:K43" si="6">G35</f>
        <v>0.79999999999999982</v>
      </c>
    </row>
    <row r="36" spans="1:12" x14ac:dyDescent="0.2">
      <c r="A36" t="s">
        <v>27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</v>
      </c>
      <c r="J36">
        <f t="shared" si="5"/>
        <v>1.4430014430014431</v>
      </c>
      <c r="K36">
        <f t="shared" si="6"/>
        <v>1.8000000000000003</v>
      </c>
      <c r="L36">
        <f>0.8/1.8</f>
        <v>0.44444444444444448</v>
      </c>
    </row>
    <row r="37" spans="1:12" x14ac:dyDescent="0.2">
      <c r="B37" t="s">
        <v>41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0.84512195121951217</v>
      </c>
      <c r="J37">
        <f t="shared" si="5"/>
        <v>1.2195121951219512</v>
      </c>
      <c r="K37">
        <f t="shared" si="6"/>
        <v>1.0999999999999996</v>
      </c>
    </row>
    <row r="38" spans="1:12" x14ac:dyDescent="0.2">
      <c r="B38" t="s">
        <v>42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0.67941176470588227</v>
      </c>
      <c r="J38">
        <f t="shared" si="5"/>
        <v>0.98039215686274506</v>
      </c>
      <c r="K38">
        <f t="shared" si="6"/>
        <v>1</v>
      </c>
    </row>
    <row r="39" spans="1:12" x14ac:dyDescent="0.2">
      <c r="B39" t="s">
        <v>43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0.96249999999999991</v>
      </c>
      <c r="J39">
        <f t="shared" si="5"/>
        <v>1.3888888888888888</v>
      </c>
      <c r="K39">
        <f t="shared" si="6"/>
        <v>1</v>
      </c>
      <c r="L39">
        <f>(J36-J39)/J36</f>
        <v>3.7500000000000075E-2</v>
      </c>
    </row>
    <row r="40" spans="1:12" x14ac:dyDescent="0.2">
      <c r="G40">
        <f t="shared" si="2"/>
        <v>0</v>
      </c>
    </row>
    <row r="41" spans="1:12" x14ac:dyDescent="0.2">
      <c r="A41" t="s">
        <v>44</v>
      </c>
      <c r="B41" t="s">
        <v>28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J41">
        <f t="shared" si="5"/>
        <v>1.0591537361648042</v>
      </c>
      <c r="K41">
        <f t="shared" si="6"/>
        <v>2.8</v>
      </c>
    </row>
    <row r="42" spans="1:12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J42">
        <f t="shared" si="5"/>
        <v>1.0731916720326249</v>
      </c>
      <c r="K42">
        <f t="shared" si="6"/>
        <v>3.1000000000000005</v>
      </c>
    </row>
    <row r="43" spans="1:12" x14ac:dyDescent="0.2">
      <c r="B43" t="s">
        <v>43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J43">
        <f t="shared" si="5"/>
        <v>0.85689802913453295</v>
      </c>
      <c r="K43">
        <f t="shared" si="6"/>
        <v>2</v>
      </c>
    </row>
    <row r="45" spans="1:12" x14ac:dyDescent="0.2">
      <c r="A45" t="s">
        <v>30</v>
      </c>
      <c r="B45" t="s">
        <v>29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2" x14ac:dyDescent="0.2">
      <c r="B46" t="s">
        <v>28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2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2" x14ac:dyDescent="0.2">
      <c r="B48" t="s">
        <v>43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49" spans="1:12" x14ac:dyDescent="0.2">
      <c r="B49" t="s">
        <v>96</v>
      </c>
      <c r="D49">
        <v>12</v>
      </c>
      <c r="G49">
        <v>1.8</v>
      </c>
    </row>
    <row r="51" spans="1:12" x14ac:dyDescent="0.2">
      <c r="J51">
        <f>(J36-J39)*100/ J36</f>
        <v>3.7500000000000075</v>
      </c>
    </row>
    <row r="53" spans="1:12" x14ac:dyDescent="0.2">
      <c r="A53" s="5" t="s">
        <v>49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6" spans="1:12" x14ac:dyDescent="0.2">
      <c r="A56" t="s">
        <v>50</v>
      </c>
    </row>
  </sheetData>
  <mergeCells count="4">
    <mergeCell ref="A19:K19"/>
    <mergeCell ref="A26:K26"/>
    <mergeCell ref="A13:K13"/>
    <mergeCell ref="A53:L5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92E8-9767-8E46-B24F-52C4CE39A8E7}">
  <dimension ref="A1:Q62"/>
  <sheetViews>
    <sheetView tabSelected="1" zoomScale="90" zoomScaleNormal="90" workbookViewId="0">
      <pane xSplit="2" topLeftCell="C1" activePane="topRight" state="frozen"/>
      <selection pane="topRight" activeCell="C16" sqref="C16"/>
    </sheetView>
  </sheetViews>
  <sheetFormatPr baseColWidth="10" defaultRowHeight="16" x14ac:dyDescent="0.2"/>
  <cols>
    <col min="1" max="1" width="13.5" customWidth="1"/>
    <col min="2" max="4" width="35.6640625" customWidth="1"/>
    <col min="5" max="5" width="26.6640625" customWidth="1"/>
    <col min="6" max="7" width="29" customWidth="1"/>
    <col min="8" max="9" width="44.5" customWidth="1"/>
    <col min="10" max="12" width="25.83203125" customWidth="1"/>
    <col min="13" max="13" width="10.83203125" customWidth="1"/>
  </cols>
  <sheetData>
    <row r="1" spans="1:17" x14ac:dyDescent="0.2">
      <c r="A1" t="s">
        <v>0</v>
      </c>
      <c r="B1" t="s">
        <v>95</v>
      </c>
      <c r="C1" t="s">
        <v>121</v>
      </c>
      <c r="D1" t="s">
        <v>113</v>
      </c>
      <c r="E1" t="s">
        <v>115</v>
      </c>
      <c r="F1" t="s">
        <v>98</v>
      </c>
      <c r="G1" t="s">
        <v>98</v>
      </c>
      <c r="H1" t="s">
        <v>102</v>
      </c>
      <c r="J1" t="s">
        <v>111</v>
      </c>
      <c r="K1" t="s">
        <v>116</v>
      </c>
      <c r="L1" t="s">
        <v>112</v>
      </c>
      <c r="N1" t="s">
        <v>107</v>
      </c>
      <c r="O1" t="s">
        <v>108</v>
      </c>
      <c r="P1" t="s">
        <v>109</v>
      </c>
      <c r="Q1" t="s">
        <v>110</v>
      </c>
    </row>
    <row r="3" spans="1:17" x14ac:dyDescent="0.2">
      <c r="A3" t="s">
        <v>99</v>
      </c>
      <c r="B3" t="s">
        <v>28</v>
      </c>
      <c r="C3">
        <f>D3/$D$5</f>
        <v>0.90214285714285714</v>
      </c>
      <c r="D3">
        <f>$E$5/E3</f>
        <v>0.90214285714285714</v>
      </c>
      <c r="E3">
        <v>140</v>
      </c>
      <c r="F3">
        <v>4.0999999999999996</v>
      </c>
      <c r="G3">
        <v>1</v>
      </c>
      <c r="H3">
        <f>F3*E3</f>
        <v>574</v>
      </c>
      <c r="J3">
        <f>(1000000/E3)/H3</f>
        <v>12.444001991040318</v>
      </c>
      <c r="K3">
        <f>J3/$J$5</f>
        <v>0.84363716401194622</v>
      </c>
      <c r="L3">
        <f>($J$7-J3)*100/J3</f>
        <v>244.47873799725653</v>
      </c>
      <c r="N3">
        <f>$E$3/E3</f>
        <v>1</v>
      </c>
      <c r="O3">
        <f>$E$4/E3</f>
        <v>0.495</v>
      </c>
      <c r="P3">
        <f>$H$3/H3</f>
        <v>1</v>
      </c>
      <c r="Q3">
        <f>$H$6/H3</f>
        <v>1.0273170731707317</v>
      </c>
    </row>
    <row r="4" spans="1:17" x14ac:dyDescent="0.2">
      <c r="B4" t="s">
        <v>2</v>
      </c>
      <c r="C4">
        <f t="shared" ref="C4:C7" si="0">D4/$D$5</f>
        <v>1.8225108225108226</v>
      </c>
      <c r="D4">
        <f t="shared" ref="D4:D8" si="1">$E$5/E4</f>
        <v>1.8225108225108226</v>
      </c>
      <c r="E4">
        <v>69.3</v>
      </c>
      <c r="F4">
        <v>5.4</v>
      </c>
      <c r="G4">
        <v>1.8</v>
      </c>
      <c r="H4">
        <f>F4*E4</f>
        <v>374.22</v>
      </c>
      <c r="J4">
        <f>(1000000/E4)/H4</f>
        <v>38.560243787115681</v>
      </c>
      <c r="K4">
        <f t="shared" ref="K4:K8" si="2">J4/$J$5</f>
        <v>2.614179484670105</v>
      </c>
      <c r="L4">
        <f t="shared" ref="L4:L7" si="3">($J$7-J4)*100/J4</f>
        <v>11.168749999999992</v>
      </c>
      <c r="N4">
        <f>$E$3/E4</f>
        <v>2.0202020202020203</v>
      </c>
      <c r="O4">
        <f>$E$4/E4</f>
        <v>1</v>
      </c>
      <c r="P4">
        <f>$H$3/H4</f>
        <v>1.5338570894126449</v>
      </c>
      <c r="Q4">
        <f>$H$6/H4</f>
        <v>1.5757575757575759</v>
      </c>
    </row>
    <row r="5" spans="1:17" x14ac:dyDescent="0.2">
      <c r="B5" t="s">
        <v>101</v>
      </c>
      <c r="C5">
        <f t="shared" si="0"/>
        <v>1</v>
      </c>
      <c r="D5">
        <f t="shared" si="1"/>
        <v>1</v>
      </c>
      <c r="E5">
        <v>126.3</v>
      </c>
      <c r="F5">
        <v>4.25</v>
      </c>
      <c r="G5">
        <v>1.1499999999999999</v>
      </c>
      <c r="H5">
        <f>F5*E5</f>
        <v>536.77499999999998</v>
      </c>
      <c r="J5">
        <f>(1000000/E5)/H5</f>
        <v>14.750419400518618</v>
      </c>
      <c r="K5">
        <f t="shared" si="2"/>
        <v>1</v>
      </c>
      <c r="L5">
        <f t="shared" si="3"/>
        <v>190.61506558641972</v>
      </c>
      <c r="N5">
        <f>$E$3/E5</f>
        <v>1.1084718923198733</v>
      </c>
      <c r="O5">
        <f>$E$4/E5</f>
        <v>0.54869358669833723</v>
      </c>
      <c r="P5">
        <f>$H$3/H5</f>
        <v>1.0693493549438777</v>
      </c>
      <c r="Q5">
        <f>$H$6/H5</f>
        <v>1.0985608495179546</v>
      </c>
    </row>
    <row r="6" spans="1:17" x14ac:dyDescent="0.2">
      <c r="B6" t="s">
        <v>96</v>
      </c>
      <c r="C6">
        <f t="shared" si="0"/>
        <v>0.4626373626373626</v>
      </c>
      <c r="D6">
        <f t="shared" si="1"/>
        <v>0.4626373626373626</v>
      </c>
      <c r="E6">
        <v>273</v>
      </c>
      <c r="F6">
        <v>2.16</v>
      </c>
      <c r="G6">
        <v>0.36</v>
      </c>
      <c r="H6">
        <f>F6*E6</f>
        <v>589.68000000000006</v>
      </c>
      <c r="J6">
        <f>(1000000/E6)/H6</f>
        <v>6.2118499236936344</v>
      </c>
      <c r="K6">
        <f t="shared" si="2"/>
        <v>0.42113039331445917</v>
      </c>
      <c r="L6">
        <f t="shared" si="3"/>
        <v>590.08333333333337</v>
      </c>
      <c r="N6">
        <f>$E$3/E6</f>
        <v>0.51282051282051277</v>
      </c>
      <c r="O6">
        <f>$E$4/E6</f>
        <v>0.25384615384615383</v>
      </c>
      <c r="P6">
        <f>$H$3/H6</f>
        <v>0.97340930674263992</v>
      </c>
      <c r="Q6">
        <f>$H$6/H6</f>
        <v>1</v>
      </c>
    </row>
    <row r="7" spans="1:17" x14ac:dyDescent="0.2">
      <c r="B7" t="s">
        <v>97</v>
      </c>
      <c r="C7">
        <f t="shared" si="0"/>
        <v>1.7541666666666667</v>
      </c>
      <c r="D7">
        <f t="shared" si="1"/>
        <v>1.7541666666666667</v>
      </c>
      <c r="E7">
        <v>72</v>
      </c>
      <c r="F7">
        <v>4.5</v>
      </c>
      <c r="G7">
        <v>1</v>
      </c>
      <c r="H7">
        <f>F7*E7</f>
        <v>324</v>
      </c>
      <c r="J7">
        <f>(1000000/E7)/H7</f>
        <v>42.866941015089161</v>
      </c>
      <c r="K7">
        <f t="shared" si="2"/>
        <v>2.9061506558641974</v>
      </c>
      <c r="L7">
        <f t="shared" si="3"/>
        <v>0</v>
      </c>
      <c r="N7">
        <f>$E$3/E7</f>
        <v>1.9444444444444444</v>
      </c>
      <c r="O7">
        <f>$E$4/E7</f>
        <v>0.96249999999999991</v>
      </c>
      <c r="P7">
        <f>$H$3/H7</f>
        <v>1.771604938271605</v>
      </c>
      <c r="Q7">
        <f>$H$6/H7</f>
        <v>1.8200000000000003</v>
      </c>
    </row>
    <row r="8" spans="1:17" x14ac:dyDescent="0.2">
      <c r="B8" t="s">
        <v>117</v>
      </c>
      <c r="D8">
        <f t="shared" si="1"/>
        <v>1.4618055555555556</v>
      </c>
      <c r="E8">
        <f>72*1.2</f>
        <v>86.399999999999991</v>
      </c>
      <c r="F8">
        <v>4.7</v>
      </c>
      <c r="G8">
        <v>1.1000000000000001</v>
      </c>
      <c r="H8">
        <f>F8*E8</f>
        <v>406.08</v>
      </c>
      <c r="I8">
        <f>(H8-H7)*100/H8</f>
        <v>20.212765957446805</v>
      </c>
      <c r="J8">
        <f>(1000000/E8)/H8</f>
        <v>28.50195546216035</v>
      </c>
      <c r="K8">
        <f t="shared" si="2"/>
        <v>1.9322810211863015</v>
      </c>
    </row>
    <row r="9" spans="1:17" x14ac:dyDescent="0.2">
      <c r="B9" t="s">
        <v>119</v>
      </c>
      <c r="C9">
        <f>C3*1.19</f>
        <v>1.07355</v>
      </c>
      <c r="D9">
        <f>D3*1.19</f>
        <v>1.07355</v>
      </c>
      <c r="F9">
        <f>0.88+3.5</f>
        <v>4.38</v>
      </c>
      <c r="G9">
        <f>G3*0.875</f>
        <v>0.875</v>
      </c>
    </row>
    <row r="11" spans="1:17" x14ac:dyDescent="0.2">
      <c r="A11" t="s">
        <v>100</v>
      </c>
      <c r="B11" t="s">
        <v>28</v>
      </c>
      <c r="D11">
        <f>$E$13/E11</f>
        <v>1.1816305469556243</v>
      </c>
      <c r="E11">
        <v>96.9</v>
      </c>
      <c r="F11">
        <v>6.1</v>
      </c>
      <c r="G11">
        <v>2.96</v>
      </c>
      <c r="H11">
        <f>F11*E11</f>
        <v>591.09</v>
      </c>
      <c r="J11">
        <f>(1000000/E11)/H11</f>
        <v>17.459130488860367</v>
      </c>
      <c r="K11">
        <f>J11/$J$13</f>
        <v>1.3046933233020153</v>
      </c>
      <c r="L11">
        <f>($J$15-J11)*100/J11</f>
        <v>36.038621381944161</v>
      </c>
      <c r="N11">
        <f t="shared" ref="N11:N16" si="4">$E$11/E11</f>
        <v>1</v>
      </c>
      <c r="O11">
        <f t="shared" ref="O11:O16" si="5">$E$12/E11</f>
        <v>0.88338493292053655</v>
      </c>
      <c r="P11">
        <f>$H$11/H11</f>
        <v>1</v>
      </c>
      <c r="Q11">
        <f>$H$14/H11</f>
        <v>2.2478471975502878</v>
      </c>
    </row>
    <row r="12" spans="1:17" x14ac:dyDescent="0.2">
      <c r="B12" t="s">
        <v>2</v>
      </c>
      <c r="D12">
        <f t="shared" ref="D12:D16" si="6">$E$13/E12</f>
        <v>1.3376168224299065</v>
      </c>
      <c r="E12">
        <v>85.6</v>
      </c>
      <c r="F12">
        <v>6.4</v>
      </c>
      <c r="G12">
        <v>3</v>
      </c>
      <c r="H12">
        <f>F12*E12</f>
        <v>547.84</v>
      </c>
      <c r="J12">
        <f>(1000000/E12)/H12</f>
        <v>21.324187701982705</v>
      </c>
      <c r="K12">
        <f t="shared" ref="K12:K16" si="7">J12/$J$13</f>
        <v>1.5935229613735369</v>
      </c>
      <c r="L12">
        <f t="shared" ref="L12:L16" si="8">($J$15-J12)*100/J12</f>
        <v>11.381313812539595</v>
      </c>
      <c r="N12">
        <f t="shared" si="4"/>
        <v>1.1320093457943927</v>
      </c>
      <c r="O12">
        <f t="shared" si="5"/>
        <v>1</v>
      </c>
      <c r="P12">
        <f>$H$11/H12</f>
        <v>1.0789464077102804</v>
      </c>
      <c r="Q12">
        <f>$H$14/H12</f>
        <v>2.4253066588785042</v>
      </c>
    </row>
    <row r="13" spans="1:17" x14ac:dyDescent="0.2">
      <c r="B13" t="s">
        <v>101</v>
      </c>
      <c r="D13">
        <f t="shared" si="6"/>
        <v>1</v>
      </c>
      <c r="E13">
        <v>114.5</v>
      </c>
      <c r="F13">
        <v>5.7</v>
      </c>
      <c r="G13">
        <v>2.7</v>
      </c>
      <c r="H13">
        <f>F13*E13</f>
        <v>652.65</v>
      </c>
      <c r="J13">
        <f>(1000000/E13)/H13</f>
        <v>13.381788790543894</v>
      </c>
      <c r="K13">
        <f t="shared" si="7"/>
        <v>1</v>
      </c>
      <c r="L13">
        <f t="shared" si="8"/>
        <v>77.488681028233316</v>
      </c>
      <c r="N13">
        <f t="shared" si="4"/>
        <v>0.84628820960698692</v>
      </c>
      <c r="O13">
        <f t="shared" si="5"/>
        <v>0.74759825327510909</v>
      </c>
      <c r="P13">
        <f>$H$11/H13</f>
        <v>0.90567685589519664</v>
      </c>
      <c r="Q13">
        <f>$H$14/H13</f>
        <v>2.0358231824101738</v>
      </c>
    </row>
    <row r="14" spans="1:17" x14ac:dyDescent="0.2">
      <c r="B14" t="s">
        <v>96</v>
      </c>
      <c r="D14">
        <f t="shared" si="6"/>
        <v>0.2033747779751332</v>
      </c>
      <c r="E14">
        <v>563</v>
      </c>
      <c r="F14">
        <v>2.36</v>
      </c>
      <c r="G14">
        <v>0.56000000000000005</v>
      </c>
      <c r="H14">
        <f>F14*E14</f>
        <v>1328.6799999999998</v>
      </c>
      <c r="J14">
        <f>(1000000/E14)/H14</f>
        <v>1.3368146839574913</v>
      </c>
      <c r="K14">
        <f t="shared" si="7"/>
        <v>9.9898055849016079E-2</v>
      </c>
      <c r="L14">
        <f t="shared" si="8"/>
        <v>1676.6980500249788</v>
      </c>
      <c r="N14">
        <f t="shared" si="4"/>
        <v>0.17211367673179398</v>
      </c>
      <c r="O14">
        <f t="shared" si="5"/>
        <v>0.15204262877442273</v>
      </c>
      <c r="P14">
        <f>$H$11/H14</f>
        <v>0.44487009663726412</v>
      </c>
      <c r="Q14">
        <f>$H$14/H14</f>
        <v>1</v>
      </c>
    </row>
    <row r="15" spans="1:17" x14ac:dyDescent="0.2">
      <c r="B15" t="s">
        <v>97</v>
      </c>
      <c r="D15">
        <f t="shared" si="6"/>
        <v>1.2967157417893544</v>
      </c>
      <c r="E15">
        <v>88.3</v>
      </c>
      <c r="F15">
        <v>5.4</v>
      </c>
      <c r="G15">
        <v>2.52</v>
      </c>
      <c r="H15">
        <f>F15*E15</f>
        <v>476.82</v>
      </c>
      <c r="J15">
        <f>(1000000/E15)/H15</f>
        <v>23.751160422320332</v>
      </c>
      <c r="K15">
        <f t="shared" si="7"/>
        <v>1.7748868102823332</v>
      </c>
      <c r="L15">
        <f t="shared" si="8"/>
        <v>0</v>
      </c>
      <c r="N15">
        <f t="shared" si="4"/>
        <v>1.0973952434881089</v>
      </c>
      <c r="O15">
        <f t="shared" si="5"/>
        <v>0.9694224235560589</v>
      </c>
      <c r="P15">
        <f>$H$11/H15</f>
        <v>1.2396501824587896</v>
      </c>
      <c r="Q15">
        <f>$H$14/H15</f>
        <v>2.7865441885826936</v>
      </c>
    </row>
    <row r="16" spans="1:17" x14ac:dyDescent="0.2">
      <c r="B16" t="s">
        <v>118</v>
      </c>
      <c r="D16">
        <f t="shared" si="6"/>
        <v>1.2142099681866385</v>
      </c>
      <c r="E16">
        <v>94.3</v>
      </c>
      <c r="F16">
        <v>5.6</v>
      </c>
      <c r="G16">
        <v>2.7</v>
      </c>
      <c r="H16">
        <f>F16*E16</f>
        <v>528.07999999999993</v>
      </c>
      <c r="I16">
        <f>(H16-H15)*100/H16</f>
        <v>9.7068625965762649</v>
      </c>
      <c r="J16">
        <f>(1000000/E16)/H16</f>
        <v>20.081150338254933</v>
      </c>
      <c r="K16">
        <f t="shared" si="7"/>
        <v>1.5006327369660082</v>
      </c>
      <c r="L16">
        <f t="shared" si="8"/>
        <v>18.275895664572403</v>
      </c>
      <c r="N16">
        <f t="shared" si="4"/>
        <v>1.0275715800636269</v>
      </c>
      <c r="O16">
        <f t="shared" si="5"/>
        <v>0.90774125132555672</v>
      </c>
    </row>
    <row r="17" spans="1:17" x14ac:dyDescent="0.2">
      <c r="B17" t="s">
        <v>119</v>
      </c>
      <c r="D17">
        <f>D11*1</f>
        <v>1.1816305469556243</v>
      </c>
      <c r="F17">
        <v>5.2</v>
      </c>
      <c r="G17">
        <f>G11*0.74</f>
        <v>2.1903999999999999</v>
      </c>
    </row>
    <row r="19" spans="1:17" x14ac:dyDescent="0.2">
      <c r="A19" t="s">
        <v>103</v>
      </c>
      <c r="B19" s="2" t="s">
        <v>28</v>
      </c>
      <c r="C19" s="2"/>
      <c r="D19">
        <f>$E$21/E19</f>
        <v>1.1111869031377899</v>
      </c>
      <c r="E19">
        <v>29.32</v>
      </c>
      <c r="F19">
        <v>4.22</v>
      </c>
      <c r="G19">
        <v>1.72</v>
      </c>
      <c r="H19">
        <f>F19*E19</f>
        <v>123.73039999999999</v>
      </c>
      <c r="J19">
        <f>(1000000/E19)/H19</f>
        <v>275.65102840900073</v>
      </c>
      <c r="K19">
        <f>J19/$J$21</f>
        <v>1.3283656291517729</v>
      </c>
      <c r="L19">
        <f>($J$23-J19)*100/J19</f>
        <v>23.281036752736352</v>
      </c>
      <c r="N19">
        <f>$E$19/E19</f>
        <v>1</v>
      </c>
      <c r="O19">
        <f>$E$20/E19</f>
        <v>0.79740791268758526</v>
      </c>
      <c r="P19">
        <f>$H$19/H19</f>
        <v>1</v>
      </c>
      <c r="Q19">
        <f>$H$22/H19</f>
        <v>1.2882525232279216</v>
      </c>
    </row>
    <row r="20" spans="1:17" x14ac:dyDescent="0.2">
      <c r="B20" s="2" t="s">
        <v>2</v>
      </c>
      <c r="C20" s="2"/>
      <c r="D20">
        <f t="shared" ref="D20:D24" si="9">$E$21/E20</f>
        <v>1.3934987168520103</v>
      </c>
      <c r="E20">
        <v>23.38</v>
      </c>
      <c r="F20">
        <v>5.4</v>
      </c>
      <c r="G20">
        <v>2.4</v>
      </c>
      <c r="H20">
        <f>F20*E20</f>
        <v>126.25200000000001</v>
      </c>
      <c r="J20">
        <f>(1000000/E20)/H20</f>
        <v>338.77958097952666</v>
      </c>
      <c r="K20">
        <f t="shared" ref="K20:K24" si="10">J20/$J$21</f>
        <v>1.632582885066967</v>
      </c>
      <c r="L20">
        <f t="shared" ref="L20:L23" si="11">($J$23-J20)*100/J20</f>
        <v>0.30871537760490475</v>
      </c>
      <c r="N20">
        <f>$E$19/E20</f>
        <v>1.2540633019674936</v>
      </c>
      <c r="O20">
        <f>$E$20/E20</f>
        <v>1</v>
      </c>
      <c r="P20">
        <f>$H$19/H20</f>
        <v>0.98002724709311517</v>
      </c>
      <c r="Q20">
        <f>$H$22/H20</f>
        <v>1.2625225738998194</v>
      </c>
    </row>
    <row r="21" spans="1:17" x14ac:dyDescent="0.2">
      <c r="B21" s="2" t="s">
        <v>101</v>
      </c>
      <c r="C21" s="2"/>
      <c r="D21">
        <f t="shared" si="9"/>
        <v>1</v>
      </c>
      <c r="E21">
        <v>32.58</v>
      </c>
      <c r="F21">
        <v>4.54</v>
      </c>
      <c r="G21">
        <v>1.54</v>
      </c>
      <c r="H21">
        <f>F21*E21</f>
        <v>147.91319999999999</v>
      </c>
      <c r="J21">
        <f>(1000000/E21)/H21</f>
        <v>207.51141279153507</v>
      </c>
      <c r="K21">
        <f t="shared" si="10"/>
        <v>1</v>
      </c>
      <c r="L21">
        <f t="shared" si="11"/>
        <v>63.762291948531455</v>
      </c>
      <c r="N21">
        <f>$E$19/E21</f>
        <v>0.899938612645795</v>
      </c>
      <c r="O21">
        <f>$E$20/E21</f>
        <v>0.71761817065684474</v>
      </c>
      <c r="P21">
        <f>$H$19/H21</f>
        <v>0.83650681615974776</v>
      </c>
      <c r="Q21">
        <f>$H$22/H21</f>
        <v>1.0776320166151501</v>
      </c>
    </row>
    <row r="22" spans="1:17" x14ac:dyDescent="0.2">
      <c r="B22" s="2" t="s">
        <v>96</v>
      </c>
      <c r="C22" s="2"/>
      <c r="D22">
        <f t="shared" si="9"/>
        <v>0.45376044568245127</v>
      </c>
      <c r="E22">
        <v>71.8</v>
      </c>
      <c r="F22">
        <f>0.42+1.8</f>
        <v>2.2200000000000002</v>
      </c>
      <c r="G22">
        <v>0.42</v>
      </c>
      <c r="H22">
        <f>F22*E22</f>
        <v>159.39600000000002</v>
      </c>
      <c r="J22">
        <f>(1000000/E22)/H22</f>
        <v>87.377202700640595</v>
      </c>
      <c r="K22">
        <f t="shared" si="10"/>
        <v>0.42107179323394273</v>
      </c>
      <c r="L22">
        <f t="shared" si="11"/>
        <v>288.91774414712927</v>
      </c>
      <c r="N22">
        <f>$E$19/E22</f>
        <v>0.40835654596100279</v>
      </c>
      <c r="O22">
        <f>$E$20/E22</f>
        <v>0.32562674094707522</v>
      </c>
      <c r="P22">
        <f>$H$19/H22</f>
        <v>0.77624532610605024</v>
      </c>
      <c r="Q22">
        <f>$H$22/H22</f>
        <v>1</v>
      </c>
    </row>
    <row r="23" spans="1:17" x14ac:dyDescent="0.2">
      <c r="B23" s="2" t="s">
        <v>97</v>
      </c>
      <c r="C23" s="2"/>
      <c r="D23">
        <f t="shared" si="9"/>
        <v>1.2569444444444442</v>
      </c>
      <c r="E23">
        <v>25.92</v>
      </c>
      <c r="F23">
        <f>1.78+2.6</f>
        <v>4.38</v>
      </c>
      <c r="G23">
        <v>1.78</v>
      </c>
      <c r="H23">
        <f>F23*E23</f>
        <v>113.5296</v>
      </c>
      <c r="J23">
        <f>(1000000/E23)/H23</f>
        <v>339.82544564219592</v>
      </c>
      <c r="K23">
        <f t="shared" si="10"/>
        <v>1.6376229194853147</v>
      </c>
      <c r="L23">
        <f t="shared" si="11"/>
        <v>0</v>
      </c>
      <c r="N23">
        <f>$E$19/E23</f>
        <v>1.1311728395061729</v>
      </c>
      <c r="O23">
        <f>$E$20/E23</f>
        <v>0.90200617283950613</v>
      </c>
      <c r="P23">
        <f>$H$19/H23</f>
        <v>1.0898514572411071</v>
      </c>
      <c r="Q23">
        <f>$H$22/H23</f>
        <v>1.4040038897344835</v>
      </c>
    </row>
    <row r="24" spans="1:17" x14ac:dyDescent="0.2">
      <c r="B24" s="2" t="s">
        <v>118</v>
      </c>
      <c r="D24">
        <f t="shared" si="9"/>
        <v>1.1123402163225171</v>
      </c>
      <c r="E24">
        <f>25.92*1.13</f>
        <v>29.2896</v>
      </c>
      <c r="F24">
        <f>4.38*1.1</f>
        <v>4.8180000000000005</v>
      </c>
      <c r="G24">
        <f>4.38*1.1</f>
        <v>4.8180000000000005</v>
      </c>
      <c r="H24">
        <f>F24*E24</f>
        <v>141.1172928</v>
      </c>
      <c r="I24">
        <f>(H24-H23)*100/H23</f>
        <v>24.3</v>
      </c>
      <c r="J24">
        <f>(1000000/E24)/H24</f>
        <v>241.93924607337081</v>
      </c>
      <c r="K24">
        <f t="shared" si="10"/>
        <v>1.1659081436471246</v>
      </c>
    </row>
    <row r="25" spans="1:17" x14ac:dyDescent="0.2">
      <c r="B25" s="2" t="s">
        <v>120</v>
      </c>
      <c r="D25">
        <f>D19*(0.92)</f>
        <v>1.0222919508867667</v>
      </c>
      <c r="F25">
        <v>3.63</v>
      </c>
      <c r="G25">
        <f>G19*0.6</f>
        <v>1.032</v>
      </c>
    </row>
    <row r="26" spans="1:17" x14ac:dyDescent="0.2">
      <c r="B26" s="2"/>
    </row>
    <row r="27" spans="1:17" x14ac:dyDescent="0.2">
      <c r="A27" t="s">
        <v>104</v>
      </c>
      <c r="B27" s="2" t="s">
        <v>28</v>
      </c>
      <c r="C27" s="2"/>
      <c r="D27">
        <f>$E$29/E27</f>
        <v>0.96262068965517245</v>
      </c>
      <c r="E27">
        <v>72.5</v>
      </c>
      <c r="F27">
        <f>1.16+2.4</f>
        <v>3.5599999999999996</v>
      </c>
      <c r="G27">
        <v>1.1599999999999999</v>
      </c>
      <c r="H27">
        <f>F27*E27</f>
        <v>258.09999999999997</v>
      </c>
      <c r="J27">
        <f>(1000000/E27)/H27</f>
        <v>53.440927734505479</v>
      </c>
      <c r="K27">
        <f>J27/$J$29</f>
        <v>1.0203436183248944</v>
      </c>
      <c r="L27">
        <f>($J$31-J27)*100/J27</f>
        <v>95.949305792132506</v>
      </c>
      <c r="N27">
        <f t="shared" ref="N27:N32" si="12">$E$27/E27</f>
        <v>1</v>
      </c>
      <c r="O27">
        <f t="shared" ref="O27:O32" si="13">$E$28/E27</f>
        <v>0.66041379310344828</v>
      </c>
      <c r="P27">
        <f>$H$27/H27</f>
        <v>1</v>
      </c>
      <c r="Q27">
        <f>$H$30/H27</f>
        <v>2.1447772181325071</v>
      </c>
    </row>
    <row r="28" spans="1:17" x14ac:dyDescent="0.2">
      <c r="B28" s="2" t="s">
        <v>2</v>
      </c>
      <c r="C28" s="2"/>
      <c r="D28">
        <f t="shared" ref="D28:D32" si="14">$E$29/E28</f>
        <v>1.4576023391812867</v>
      </c>
      <c r="E28">
        <v>47.88</v>
      </c>
      <c r="F28">
        <f>1.2+3</f>
        <v>4.2</v>
      </c>
      <c r="G28">
        <v>1.2</v>
      </c>
      <c r="H28">
        <f>F28*E28</f>
        <v>201.09600000000003</v>
      </c>
      <c r="J28">
        <f>(1000000/E28)/H28</f>
        <v>103.85859092839574</v>
      </c>
      <c r="K28">
        <f t="shared" ref="K28:K32" si="15">J28/$J$29</f>
        <v>1.982964273907641</v>
      </c>
      <c r="L28">
        <f t="shared" ref="L28:L32" si="16">($J$31-J28)*100/J28</f>
        <v>0.82663934544890616</v>
      </c>
      <c r="N28">
        <f t="shared" si="12"/>
        <v>1.5142021720969088</v>
      </c>
      <c r="O28">
        <f t="shared" si="13"/>
        <v>1</v>
      </c>
      <c r="P28">
        <f>$H$27/H28</f>
        <v>1.2834666030154749</v>
      </c>
      <c r="Q28">
        <f>$H$30/H28</f>
        <v>2.7527499303815088</v>
      </c>
    </row>
    <row r="29" spans="1:17" x14ac:dyDescent="0.2">
      <c r="B29" s="2" t="s">
        <v>101</v>
      </c>
      <c r="C29" s="2"/>
      <c r="D29">
        <f t="shared" si="14"/>
        <v>1</v>
      </c>
      <c r="E29">
        <v>69.790000000000006</v>
      </c>
      <c r="F29">
        <f>1.02+2.9</f>
        <v>3.92</v>
      </c>
      <c r="G29">
        <v>1.02</v>
      </c>
      <c r="H29">
        <f>F29*E29</f>
        <v>273.57679999999999</v>
      </c>
      <c r="J29">
        <f>(1000000/E29)/H29</f>
        <v>52.37542213694622</v>
      </c>
      <c r="K29">
        <f t="shared" si="15"/>
        <v>1</v>
      </c>
      <c r="L29">
        <f t="shared" si="16"/>
        <v>99.935623680195675</v>
      </c>
      <c r="N29">
        <f t="shared" si="12"/>
        <v>1.0388307780484309</v>
      </c>
      <c r="O29">
        <f t="shared" si="13"/>
        <v>0.68605817452357065</v>
      </c>
      <c r="P29">
        <f>$H$27/H29</f>
        <v>0.94342795149296277</v>
      </c>
      <c r="Q29">
        <f>$H$30/H29</f>
        <v>2.0234427773115264</v>
      </c>
    </row>
    <row r="30" spans="1:17" x14ac:dyDescent="0.2">
      <c r="B30" s="2" t="s">
        <v>96</v>
      </c>
      <c r="C30" s="2"/>
      <c r="D30">
        <f t="shared" si="14"/>
        <v>0.2735789886319091</v>
      </c>
      <c r="E30">
        <v>255.1</v>
      </c>
      <c r="F30">
        <f>0.37+1.8</f>
        <v>2.17</v>
      </c>
      <c r="G30">
        <v>0.37</v>
      </c>
      <c r="H30">
        <f>F30*E30</f>
        <v>553.56700000000001</v>
      </c>
      <c r="J30">
        <f>(1000000/E30)/H30</f>
        <v>7.0814036245854286</v>
      </c>
      <c r="K30">
        <f t="shared" si="15"/>
        <v>0.13520470739251811</v>
      </c>
      <c r="L30">
        <f t="shared" si="16"/>
        <v>1378.7622970830055</v>
      </c>
      <c r="N30">
        <f t="shared" si="12"/>
        <v>0.28420227361818895</v>
      </c>
      <c r="O30">
        <f t="shared" si="13"/>
        <v>0.18769110152881224</v>
      </c>
      <c r="P30">
        <f>$H$27/H30</f>
        <v>0.46624889128145275</v>
      </c>
      <c r="Q30">
        <f>$H$30/H30</f>
        <v>1</v>
      </c>
    </row>
    <row r="31" spans="1:17" x14ac:dyDescent="0.2">
      <c r="B31" s="2" t="s">
        <v>97</v>
      </c>
      <c r="C31" s="2"/>
      <c r="D31">
        <f t="shared" si="14"/>
        <v>1.3379984662576689</v>
      </c>
      <c r="E31">
        <v>52.16</v>
      </c>
      <c r="F31">
        <f>1.01+2.5</f>
        <v>3.51</v>
      </c>
      <c r="G31">
        <v>1.01</v>
      </c>
      <c r="H31">
        <f>F31*E31</f>
        <v>183.08159999999998</v>
      </c>
      <c r="J31">
        <f>(1000000/E31)/H31</f>
        <v>104.71712690463869</v>
      </c>
      <c r="K31">
        <f t="shared" si="15"/>
        <v>1.9993562368019566</v>
      </c>
      <c r="L31">
        <f t="shared" si="16"/>
        <v>0</v>
      </c>
      <c r="N31">
        <f t="shared" si="12"/>
        <v>1.3899539877300615</v>
      </c>
      <c r="O31">
        <f t="shared" si="13"/>
        <v>0.9179447852760737</v>
      </c>
      <c r="P31">
        <f>$H$27/H31</f>
        <v>1.4097539020851904</v>
      </c>
      <c r="Q31">
        <f>$H$30/H31</f>
        <v>3.0236080523657214</v>
      </c>
    </row>
    <row r="32" spans="1:17" x14ac:dyDescent="0.2">
      <c r="B32" s="2" t="s">
        <v>117</v>
      </c>
      <c r="D32">
        <f t="shared" si="14"/>
        <v>1.285267034990792</v>
      </c>
      <c r="E32">
        <v>54.3</v>
      </c>
      <c r="F32">
        <v>3.48</v>
      </c>
      <c r="G32">
        <v>1.01</v>
      </c>
      <c r="H32">
        <f>F32*E32</f>
        <v>188.964</v>
      </c>
      <c r="I32">
        <f>(H32-H31)*100/H32</f>
        <v>3.1129738997904459</v>
      </c>
      <c r="J32">
        <f>(1000000/E32)/H32</f>
        <v>97.458808352438197</v>
      </c>
      <c r="K32">
        <f t="shared" si="15"/>
        <v>1.8607737059877489</v>
      </c>
      <c r="L32">
        <f t="shared" si="16"/>
        <v>7.4475757244562137</v>
      </c>
      <c r="N32">
        <f t="shared" si="12"/>
        <v>1.3351749539594844</v>
      </c>
      <c r="O32">
        <f t="shared" si="13"/>
        <v>0.88176795580110512</v>
      </c>
    </row>
    <row r="33" spans="1:12" x14ac:dyDescent="0.2">
      <c r="B33" s="2" t="s">
        <v>120</v>
      </c>
      <c r="D33">
        <f>D27*1.19</f>
        <v>1.1455186206896553</v>
      </c>
      <c r="F33">
        <v>3.42</v>
      </c>
      <c r="G33">
        <f>G27*0.8</f>
        <v>0.92799999999999994</v>
      </c>
    </row>
    <row r="34" spans="1:12" x14ac:dyDescent="0.2">
      <c r="H34">
        <f>F34*E34</f>
        <v>0</v>
      </c>
    </row>
    <row r="35" spans="1:12" x14ac:dyDescent="0.2">
      <c r="A35" t="s">
        <v>106</v>
      </c>
      <c r="B35" s="2" t="s">
        <v>28</v>
      </c>
      <c r="C35" s="2"/>
      <c r="D35">
        <v>7048</v>
      </c>
      <c r="E35">
        <v>148</v>
      </c>
      <c r="F35">
        <v>7.95</v>
      </c>
      <c r="G35">
        <v>7.95</v>
      </c>
      <c r="H35">
        <f>F35*E35</f>
        <v>1176.6000000000001</v>
      </c>
      <c r="J35">
        <f>(D35/H35)</f>
        <v>5.9901410844807064</v>
      </c>
      <c r="K35">
        <f>J35/$J$36</f>
        <v>1.1212805736288496</v>
      </c>
      <c r="L35">
        <f>($J$39-J35)*100/J35</f>
        <v>-0.41551808010377561</v>
      </c>
    </row>
    <row r="36" spans="1:12" x14ac:dyDescent="0.2">
      <c r="B36" s="2" t="s">
        <v>2</v>
      </c>
      <c r="C36" s="2"/>
      <c r="D36">
        <v>7204</v>
      </c>
      <c r="E36">
        <v>145</v>
      </c>
      <c r="F36">
        <v>9.3000000000000007</v>
      </c>
      <c r="G36">
        <v>9.3000000000000007</v>
      </c>
      <c r="H36">
        <f>F36*E36</f>
        <v>1348.5</v>
      </c>
      <c r="J36">
        <f>(D36/H36)</f>
        <v>5.3422321097515759</v>
      </c>
      <c r="K36">
        <f t="shared" ref="K36:K39" si="17">J36/$J$36</f>
        <v>1</v>
      </c>
      <c r="L36">
        <f t="shared" ref="L36:L39" si="18">($J$39-J36)*100/J36</f>
        <v>11.662145011673038</v>
      </c>
    </row>
    <row r="37" spans="1:12" x14ac:dyDescent="0.2">
      <c r="B37" s="2" t="s">
        <v>101</v>
      </c>
      <c r="C37" s="2"/>
      <c r="H37">
        <f>F37*E37</f>
        <v>0</v>
      </c>
      <c r="K37">
        <f t="shared" si="17"/>
        <v>0</v>
      </c>
    </row>
    <row r="38" spans="1:12" x14ac:dyDescent="0.2">
      <c r="B38" s="2" t="s">
        <v>96</v>
      </c>
      <c r="C38" s="2"/>
      <c r="H38">
        <f>F38*E38</f>
        <v>0</v>
      </c>
      <c r="K38">
        <f t="shared" si="17"/>
        <v>0</v>
      </c>
    </row>
    <row r="39" spans="1:12" x14ac:dyDescent="0.2">
      <c r="B39" s="2" t="s">
        <v>97</v>
      </c>
      <c r="C39" s="2"/>
      <c r="D39" s="1">
        <v>7107</v>
      </c>
      <c r="E39">
        <v>148</v>
      </c>
      <c r="F39">
        <v>8.0500000000000007</v>
      </c>
      <c r="G39">
        <v>8.0500000000000007</v>
      </c>
      <c r="H39">
        <f>F39*E39</f>
        <v>1191.4000000000001</v>
      </c>
      <c r="J39">
        <f>(D39/H39)</f>
        <v>5.9652509652509647</v>
      </c>
      <c r="K39">
        <f t="shared" si="17"/>
        <v>1.1166214501167304</v>
      </c>
      <c r="L39">
        <f t="shared" si="18"/>
        <v>0</v>
      </c>
    </row>
    <row r="40" spans="1:12" x14ac:dyDescent="0.2">
      <c r="B40" s="2" t="s">
        <v>117</v>
      </c>
      <c r="D40">
        <v>6926</v>
      </c>
      <c r="E40">
        <v>146</v>
      </c>
      <c r="H40">
        <f>F40*E40</f>
        <v>0</v>
      </c>
    </row>
    <row r="41" spans="1:12" x14ac:dyDescent="0.2">
      <c r="H41">
        <f>F41*E41</f>
        <v>0</v>
      </c>
    </row>
    <row r="42" spans="1:12" x14ac:dyDescent="0.2">
      <c r="A42" t="s">
        <v>114</v>
      </c>
      <c r="B42" s="2" t="s">
        <v>28</v>
      </c>
      <c r="C42" s="2">
        <f>D42/$D$43</f>
        <v>0.97737983034872766</v>
      </c>
      <c r="D42">
        <v>3111</v>
      </c>
      <c r="E42">
        <v>107</v>
      </c>
      <c r="F42">
        <v>5.34</v>
      </c>
      <c r="G42">
        <v>1.54</v>
      </c>
      <c r="H42">
        <f>F42*E42</f>
        <v>571.38</v>
      </c>
      <c r="J42">
        <f>(D42/H42)</f>
        <v>5.4447128005880501</v>
      </c>
      <c r="K42">
        <f>J42/$J$43</f>
        <v>1.2716303788743815</v>
      </c>
      <c r="L42">
        <f>($J$46-J42)*100/J42</f>
        <v>3.0237222757955662</v>
      </c>
    </row>
    <row r="43" spans="1:12" x14ac:dyDescent="0.2">
      <c r="B43" s="2" t="s">
        <v>2</v>
      </c>
      <c r="C43" s="2">
        <f t="shared" ref="C43:C47" si="19">D43/$D$43</f>
        <v>1</v>
      </c>
      <c r="D43">
        <v>3183</v>
      </c>
      <c r="E43">
        <v>118</v>
      </c>
      <c r="F43">
        <v>6.3</v>
      </c>
      <c r="G43">
        <v>2.59</v>
      </c>
      <c r="H43">
        <f>F43*E43</f>
        <v>743.4</v>
      </c>
      <c r="J43">
        <f>(D43/H43)</f>
        <v>4.281678773204197</v>
      </c>
      <c r="K43">
        <f t="shared" ref="K43:K46" si="20">J43/$J$43</f>
        <v>1</v>
      </c>
      <c r="L43">
        <f t="shared" ref="L43:L46" si="21">($J$46-J43)*100/J43</f>
        <v>31.008094990618975</v>
      </c>
    </row>
    <row r="44" spans="1:12" x14ac:dyDescent="0.2">
      <c r="B44" s="2" t="s">
        <v>101</v>
      </c>
      <c r="C44" s="2">
        <f t="shared" si="19"/>
        <v>0</v>
      </c>
      <c r="H44">
        <f>F44*E44</f>
        <v>0</v>
      </c>
      <c r="K44">
        <f t="shared" si="20"/>
        <v>0</v>
      </c>
    </row>
    <row r="45" spans="1:12" x14ac:dyDescent="0.2">
      <c r="B45" s="2" t="s">
        <v>96</v>
      </c>
      <c r="C45" s="2">
        <f t="shared" si="19"/>
        <v>0</v>
      </c>
      <c r="H45">
        <f>F45*E45</f>
        <v>0</v>
      </c>
      <c r="K45">
        <f t="shared" si="20"/>
        <v>0</v>
      </c>
    </row>
    <row r="46" spans="1:12" x14ac:dyDescent="0.2">
      <c r="B46" s="2" t="s">
        <v>97</v>
      </c>
      <c r="C46" s="2">
        <f t="shared" si="19"/>
        <v>0.9428212378259504</v>
      </c>
      <c r="D46">
        <v>3001</v>
      </c>
      <c r="E46">
        <v>107</v>
      </c>
      <c r="F46">
        <v>5</v>
      </c>
      <c r="G46">
        <v>1.3</v>
      </c>
      <c r="H46">
        <f>F46*E46</f>
        <v>535</v>
      </c>
      <c r="J46">
        <f>(D46/H46)</f>
        <v>5.6093457943925236</v>
      </c>
      <c r="K46">
        <f t="shared" si="20"/>
        <v>1.3100809499061898</v>
      </c>
      <c r="L46">
        <f t="shared" si="21"/>
        <v>0</v>
      </c>
    </row>
    <row r="47" spans="1:12" x14ac:dyDescent="0.2">
      <c r="B47" s="2" t="s">
        <v>117</v>
      </c>
      <c r="C47" s="2">
        <f t="shared" si="19"/>
        <v>0.8912975180647188</v>
      </c>
      <c r="D47">
        <v>2837</v>
      </c>
      <c r="H47">
        <f>F47*E47</f>
        <v>0</v>
      </c>
    </row>
    <row r="48" spans="1:12" x14ac:dyDescent="0.2">
      <c r="H48">
        <f>F48*E48</f>
        <v>0</v>
      </c>
    </row>
    <row r="49" spans="1:13" x14ac:dyDescent="0.2">
      <c r="A49" t="s">
        <v>105</v>
      </c>
      <c r="B49" s="2" t="s">
        <v>28</v>
      </c>
      <c r="C49" s="2"/>
      <c r="D49">
        <v>43447</v>
      </c>
      <c r="E49">
        <v>80</v>
      </c>
      <c r="F49">
        <v>9.3000000000000007</v>
      </c>
      <c r="G49">
        <v>5.6</v>
      </c>
      <c r="H49">
        <f>F49*E49</f>
        <v>744</v>
      </c>
      <c r="J49">
        <f>(D49/H49)</f>
        <v>58.396505376344088</v>
      </c>
      <c r="K49">
        <f>J49/$J$50</f>
        <v>1.1139915811065468</v>
      </c>
      <c r="L49">
        <f>($J$53-J49)*100/J49</f>
        <v>7.2623823916536807</v>
      </c>
    </row>
    <row r="50" spans="1:13" x14ac:dyDescent="0.2">
      <c r="B50" s="2" t="s">
        <v>2</v>
      </c>
      <c r="C50" s="2"/>
      <c r="D50">
        <v>46424</v>
      </c>
      <c r="E50">
        <v>82</v>
      </c>
      <c r="F50">
        <v>10.8</v>
      </c>
      <c r="G50">
        <v>7.13</v>
      </c>
      <c r="H50">
        <f>F50*E50</f>
        <v>885.6</v>
      </c>
      <c r="J50">
        <f>(D50/H50)</f>
        <v>52.420957542908759</v>
      </c>
      <c r="K50">
        <f t="shared" ref="K50:K53" si="22">J50/$J$50</f>
        <v>1</v>
      </c>
      <c r="L50">
        <f t="shared" ref="L50:L53" si="23">($J$53-J50)*100/J50</f>
        <v>19.489390953733302</v>
      </c>
    </row>
    <row r="51" spans="1:13" x14ac:dyDescent="0.2">
      <c r="B51" s="2" t="s">
        <v>101</v>
      </c>
      <c r="C51" s="2"/>
      <c r="H51">
        <f>F51*E51</f>
        <v>0</v>
      </c>
      <c r="K51">
        <f t="shared" si="22"/>
        <v>0</v>
      </c>
    </row>
    <row r="52" spans="1:13" x14ac:dyDescent="0.2">
      <c r="B52" s="2" t="s">
        <v>96</v>
      </c>
      <c r="C52" s="2"/>
      <c r="D52">
        <f t="shared" ref="D52:D59" si="24">1000/E52</f>
        <v>10.989010989010989</v>
      </c>
      <c r="E52">
        <v>91</v>
      </c>
      <c r="F52">
        <v>2.9</v>
      </c>
      <c r="G52">
        <v>2.9</v>
      </c>
      <c r="H52">
        <f>F52*E52</f>
        <v>263.89999999999998</v>
      </c>
      <c r="J52">
        <f>(D52/H52)</f>
        <v>4.1640814660898029E-2</v>
      </c>
      <c r="K52">
        <f t="shared" si="22"/>
        <v>7.9435433102902151E-4</v>
      </c>
      <c r="L52">
        <f t="shared" si="23"/>
        <v>150323.2888098495</v>
      </c>
      <c r="M52">
        <v>30188</v>
      </c>
    </row>
    <row r="53" spans="1:13" x14ac:dyDescent="0.2">
      <c r="B53" s="2" t="s">
        <v>97</v>
      </c>
      <c r="C53" s="2"/>
      <c r="D53" s="1">
        <v>45788</v>
      </c>
      <c r="E53">
        <v>85</v>
      </c>
      <c r="F53">
        <v>8.6</v>
      </c>
      <c r="G53">
        <v>4.8899999999999997</v>
      </c>
      <c r="H53">
        <f>F53*E53</f>
        <v>731</v>
      </c>
      <c r="J53">
        <f>(D53/H53)</f>
        <v>62.637482900136796</v>
      </c>
      <c r="K53">
        <f t="shared" si="22"/>
        <v>1.194893909537333</v>
      </c>
      <c r="L53">
        <f t="shared" si="23"/>
        <v>0</v>
      </c>
    </row>
    <row r="54" spans="1:13" x14ac:dyDescent="0.2">
      <c r="H54">
        <f>F54*E54</f>
        <v>0</v>
      </c>
    </row>
    <row r="55" spans="1:13" x14ac:dyDescent="0.2">
      <c r="H55">
        <f>F55*E55</f>
        <v>0</v>
      </c>
    </row>
    <row r="56" spans="1:13" x14ac:dyDescent="0.2">
      <c r="H56">
        <f>F56*E56</f>
        <v>0</v>
      </c>
    </row>
    <row r="57" spans="1:13" x14ac:dyDescent="0.2">
      <c r="A57" t="s">
        <v>36</v>
      </c>
      <c r="B57" t="s">
        <v>28</v>
      </c>
      <c r="D57">
        <v>21</v>
      </c>
      <c r="E57">
        <v>341</v>
      </c>
      <c r="F57">
        <v>7.2</v>
      </c>
      <c r="G57">
        <v>2.2000000000000002</v>
      </c>
      <c r="H57">
        <f>F57*E57</f>
        <v>2455.2000000000003</v>
      </c>
      <c r="J57">
        <f>(1000*D57/H57)</f>
        <v>8.5532746823069399</v>
      </c>
      <c r="K57">
        <f>J57/$J$58</f>
        <v>1.0350628721229895</v>
      </c>
      <c r="L57">
        <f>($J$60-J57)*100/J57</f>
        <v>15.300084530853777</v>
      </c>
    </row>
    <row r="58" spans="1:13" x14ac:dyDescent="0.2">
      <c r="B58" t="s">
        <v>39</v>
      </c>
      <c r="D58">
        <v>22</v>
      </c>
      <c r="E58">
        <v>337</v>
      </c>
      <c r="F58">
        <v>7.9</v>
      </c>
      <c r="G58">
        <v>2.8</v>
      </c>
      <c r="H58">
        <f>F58*E58</f>
        <v>2662.3</v>
      </c>
      <c r="J58">
        <f>(1000*D58/H58)</f>
        <v>8.2635315328850982</v>
      </c>
      <c r="K58">
        <f t="shared" ref="K58:K61" si="25">J58/$J$58</f>
        <v>1</v>
      </c>
      <c r="L58">
        <f t="shared" ref="L58:L61" si="26">($J$60-J58)*100/J58</f>
        <v>19.342836650528984</v>
      </c>
    </row>
    <row r="59" spans="1:13" x14ac:dyDescent="0.2">
      <c r="B59" t="s">
        <v>96</v>
      </c>
      <c r="D59">
        <f t="shared" si="24"/>
        <v>2.8735632183908044</v>
      </c>
      <c r="E59">
        <v>348</v>
      </c>
      <c r="F59">
        <v>1.8</v>
      </c>
      <c r="G59">
        <v>1.8</v>
      </c>
      <c r="H59">
        <f>F59*E59</f>
        <v>626.4</v>
      </c>
      <c r="J59">
        <f>(1000*D59/H59)</f>
        <v>4.5874253167158434</v>
      </c>
      <c r="K59">
        <f t="shared" si="25"/>
        <v>0.55514101912239056</v>
      </c>
      <c r="L59">
        <f t="shared" si="26"/>
        <v>114.97751479289946</v>
      </c>
    </row>
    <row r="60" spans="1:13" x14ac:dyDescent="0.2">
      <c r="B60" t="s">
        <v>97</v>
      </c>
      <c r="D60">
        <v>24</v>
      </c>
      <c r="E60">
        <v>338</v>
      </c>
      <c r="F60">
        <v>7.2</v>
      </c>
      <c r="G60">
        <v>2.2999999999999998</v>
      </c>
      <c r="H60">
        <f>F60*E60</f>
        <v>2433.6</v>
      </c>
      <c r="J60">
        <f>(1000*D60/H60)</f>
        <v>9.8619329388560164</v>
      </c>
      <c r="K60">
        <f t="shared" si="25"/>
        <v>1.1934283665052898</v>
      </c>
      <c r="L60">
        <f t="shared" si="26"/>
        <v>0</v>
      </c>
    </row>
    <row r="61" spans="1:13" x14ac:dyDescent="0.2">
      <c r="B61" t="s">
        <v>117</v>
      </c>
      <c r="D61">
        <v>23</v>
      </c>
      <c r="E61">
        <v>339</v>
      </c>
      <c r="F61">
        <v>7.5</v>
      </c>
      <c r="H61">
        <f>F61*E61</f>
        <v>2542.5</v>
      </c>
      <c r="I61">
        <f>(H61-H60)*100/H61</f>
        <v>4.2831858407079686</v>
      </c>
      <c r="J61">
        <f>(1000*D61/H61)</f>
        <v>9.0462143559488695</v>
      </c>
      <c r="K61">
        <f t="shared" si="25"/>
        <v>1.0947152945383036</v>
      </c>
      <c r="L61">
        <f t="shared" si="26"/>
        <v>9.0172369436583519</v>
      </c>
    </row>
    <row r="62" spans="1:13" x14ac:dyDescent="0.2">
      <c r="B62" t="s">
        <v>120</v>
      </c>
      <c r="D62">
        <f>21*1.04</f>
        <v>21.84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W20"/>
  <sheetViews>
    <sheetView zoomScale="120" zoomScaleNormal="120" workbookViewId="0">
      <selection activeCell="H12" sqref="H12"/>
    </sheetView>
  </sheetViews>
  <sheetFormatPr baseColWidth="10" defaultRowHeight="16" x14ac:dyDescent="0.2"/>
  <cols>
    <col min="1" max="1" width="26.6640625" customWidth="1"/>
    <col min="12" max="12" width="8.33203125" customWidth="1"/>
  </cols>
  <sheetData>
    <row r="1" spans="1:23" ht="102" x14ac:dyDescent="0.2">
      <c r="A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3" t="s">
        <v>57</v>
      </c>
      <c r="I1" s="1" t="s">
        <v>58</v>
      </c>
      <c r="J1" s="1" t="s">
        <v>59</v>
      </c>
      <c r="K1" s="1" t="s">
        <v>62</v>
      </c>
      <c r="L1" s="1" t="s">
        <v>66</v>
      </c>
      <c r="R1" t="s">
        <v>77</v>
      </c>
      <c r="S1" t="s">
        <v>80</v>
      </c>
      <c r="T1" t="s">
        <v>78</v>
      </c>
      <c r="U1" t="s">
        <v>79</v>
      </c>
    </row>
    <row r="2" spans="1:23" x14ac:dyDescent="0.2">
      <c r="A2" s="4" t="s">
        <v>63</v>
      </c>
      <c r="B2" s="4">
        <v>72963</v>
      </c>
      <c r="C2" s="4">
        <v>7164</v>
      </c>
      <c r="D2" s="4">
        <v>42839</v>
      </c>
      <c r="E2" s="4">
        <v>3004</v>
      </c>
      <c r="F2" s="4">
        <v>19956</v>
      </c>
      <c r="G2" s="4"/>
      <c r="H2" s="4" t="s">
        <v>60</v>
      </c>
      <c r="I2" s="4">
        <v>248</v>
      </c>
      <c r="J2" s="4">
        <v>332</v>
      </c>
      <c r="K2" s="4" t="s">
        <v>61</v>
      </c>
      <c r="M2" t="s">
        <v>64</v>
      </c>
    </row>
    <row r="3" spans="1:23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65</v>
      </c>
      <c r="L3" t="s">
        <v>67</v>
      </c>
      <c r="R3">
        <v>9.3470999999999993</v>
      </c>
      <c r="S3">
        <v>6.2972000000000001</v>
      </c>
      <c r="T3">
        <v>10.8339</v>
      </c>
      <c r="U3">
        <v>5.89</v>
      </c>
      <c r="V3">
        <f>(U3-$U$11)*100/($U$11)</f>
        <v>14.591439688715955</v>
      </c>
      <c r="W3">
        <f>(F3-$F$11)*100/F3</f>
        <v>1.4771966727220576</v>
      </c>
    </row>
    <row r="4" spans="1:23" x14ac:dyDescent="0.2">
      <c r="A4" t="s">
        <v>28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68</v>
      </c>
      <c r="R4">
        <v>7.8178014999999998</v>
      </c>
      <c r="S4">
        <v>5.2439200000000001</v>
      </c>
      <c r="T4">
        <v>9.3028150000000007</v>
      </c>
      <c r="U4">
        <v>4.93</v>
      </c>
      <c r="V4">
        <f>(U4-$U$11)*100/($U$11)</f>
        <v>-4.0856031128404666</v>
      </c>
      <c r="W4">
        <f>(F4-$F$11)*100/F4</f>
        <v>-1.1484662576687117</v>
      </c>
    </row>
    <row r="5" spans="1:23" x14ac:dyDescent="0.2">
      <c r="A5" t="s">
        <v>69</v>
      </c>
    </row>
    <row r="6" spans="1:23" x14ac:dyDescent="0.2">
      <c r="A6" t="s">
        <v>70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76</v>
      </c>
      <c r="P6" t="s">
        <v>71</v>
      </c>
      <c r="Q6">
        <v>3.7</v>
      </c>
      <c r="R6">
        <f>R3-$Q$6</f>
        <v>5.6470999999999991</v>
      </c>
      <c r="S6">
        <f t="shared" ref="S6:U6" si="0">S3-$Q$6</f>
        <v>2.5972</v>
      </c>
      <c r="T6">
        <f t="shared" si="0"/>
        <v>7.1338999999999997</v>
      </c>
      <c r="U6">
        <f t="shared" si="0"/>
        <v>2.1899999999999995</v>
      </c>
    </row>
    <row r="7" spans="1:23" x14ac:dyDescent="0.2">
      <c r="A7" t="s">
        <v>72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75</v>
      </c>
      <c r="R7">
        <f>R4-$Q$6</f>
        <v>4.1178014999999997</v>
      </c>
      <c r="S7">
        <f t="shared" ref="S7:U7" si="1">S4-$Q$6</f>
        <v>1.54392</v>
      </c>
      <c r="T7">
        <f t="shared" si="1"/>
        <v>5.6028150000000005</v>
      </c>
      <c r="U7">
        <f t="shared" si="1"/>
        <v>1.2299999999999995</v>
      </c>
    </row>
    <row r="8" spans="1:23" x14ac:dyDescent="0.2">
      <c r="A8" t="s">
        <v>73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74</v>
      </c>
    </row>
    <row r="10" spans="1:23" x14ac:dyDescent="0.2">
      <c r="A10" t="s">
        <v>81</v>
      </c>
      <c r="C10">
        <v>2457</v>
      </c>
      <c r="D10">
        <v>36382</v>
      </c>
      <c r="E10">
        <v>2933</v>
      </c>
      <c r="F10">
        <v>17675</v>
      </c>
      <c r="H10">
        <v>168</v>
      </c>
      <c r="I10">
        <v>280</v>
      </c>
      <c r="J10">
        <v>365</v>
      </c>
      <c r="K10">
        <v>508</v>
      </c>
      <c r="L10" t="s">
        <v>84</v>
      </c>
    </row>
    <row r="11" spans="1:23" s="1" customFormat="1" x14ac:dyDescent="0.2">
      <c r="A11" s="1" t="s">
        <v>82</v>
      </c>
      <c r="C11" s="1">
        <v>7107</v>
      </c>
      <c r="D11" s="1">
        <v>45788</v>
      </c>
      <c r="E11" s="1">
        <v>2948</v>
      </c>
      <c r="F11" s="1">
        <v>20609</v>
      </c>
      <c r="H11" s="1">
        <v>148</v>
      </c>
      <c r="I11" s="1">
        <v>255</v>
      </c>
      <c r="J11" s="1">
        <v>340</v>
      </c>
      <c r="K11" s="1">
        <v>478</v>
      </c>
      <c r="L11" s="1" t="s">
        <v>83</v>
      </c>
      <c r="R11" s="1">
        <v>8.1300000000000008</v>
      </c>
      <c r="S11" s="1">
        <v>5.0039999999999996</v>
      </c>
      <c r="T11" s="1">
        <v>8.59</v>
      </c>
      <c r="U11" s="1">
        <v>5.14</v>
      </c>
    </row>
    <row r="12" spans="1:23" x14ac:dyDescent="0.2">
      <c r="A12" t="s">
        <v>85</v>
      </c>
      <c r="C12">
        <v>6926</v>
      </c>
      <c r="D12">
        <v>44850</v>
      </c>
      <c r="E12">
        <v>2837</v>
      </c>
      <c r="F12">
        <v>20267</v>
      </c>
      <c r="H12">
        <v>145</v>
      </c>
      <c r="I12">
        <v>245</v>
      </c>
      <c r="J12">
        <v>323</v>
      </c>
      <c r="K12">
        <v>456</v>
      </c>
      <c r="L12" t="s">
        <v>86</v>
      </c>
    </row>
    <row r="13" spans="1:23" x14ac:dyDescent="0.2">
      <c r="A13" t="s">
        <v>87</v>
      </c>
      <c r="C13">
        <v>2637</v>
      </c>
      <c r="D13">
        <v>36603</v>
      </c>
      <c r="E13">
        <v>3001</v>
      </c>
      <c r="F13">
        <v>18082</v>
      </c>
      <c r="H13">
        <v>164</v>
      </c>
      <c r="I13">
        <v>278</v>
      </c>
      <c r="J13">
        <v>365</v>
      </c>
      <c r="K13">
        <v>502</v>
      </c>
      <c r="L13" s="2" t="s">
        <v>90</v>
      </c>
      <c r="R13">
        <f>R11-$Q$6</f>
        <v>4.4300000000000006</v>
      </c>
      <c r="S13">
        <f t="shared" ref="S13:U13" si="2">S11-$Q$6</f>
        <v>1.3039999999999994</v>
      </c>
      <c r="T13">
        <f t="shared" si="2"/>
        <v>4.8899999999999997</v>
      </c>
      <c r="U13">
        <f t="shared" si="2"/>
        <v>1.4399999999999995</v>
      </c>
    </row>
    <row r="14" spans="1:23" x14ac:dyDescent="0.2">
      <c r="A14" t="s">
        <v>88</v>
      </c>
      <c r="C14">
        <v>4104</v>
      </c>
      <c r="D14">
        <v>37007</v>
      </c>
      <c r="E14">
        <v>1997</v>
      </c>
      <c r="F14">
        <v>16060</v>
      </c>
      <c r="H14">
        <v>158</v>
      </c>
      <c r="I14">
        <v>273</v>
      </c>
      <c r="J14">
        <v>358</v>
      </c>
      <c r="K14">
        <v>496</v>
      </c>
      <c r="L14" t="s">
        <v>89</v>
      </c>
    </row>
    <row r="17" spans="4:4" x14ac:dyDescent="0.2">
      <c r="D17">
        <f>D3-D11</f>
        <v>636</v>
      </c>
    </row>
    <row r="20" spans="4:4" x14ac:dyDescent="0.2">
      <c r="D20">
        <f>(D4-D11)*100/D4</f>
        <v>-5.3881740971758694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35"/>
  <sheetViews>
    <sheetView workbookViewId="0">
      <selection activeCell="I43" sqref="I43"/>
    </sheetView>
  </sheetViews>
  <sheetFormatPr baseColWidth="10" defaultRowHeight="16" x14ac:dyDescent="0.2"/>
  <cols>
    <col min="1" max="1" width="16.5" customWidth="1"/>
    <col min="2" max="2" width="16.6640625" customWidth="1"/>
  </cols>
  <sheetData>
    <row r="1" spans="1:7" x14ac:dyDescent="0.2">
      <c r="A1" t="s">
        <v>32</v>
      </c>
      <c r="B1" s="2" t="s">
        <v>2</v>
      </c>
      <c r="C1" s="2" t="s">
        <v>31</v>
      </c>
    </row>
    <row r="2" spans="1:7" x14ac:dyDescent="0.2">
      <c r="A2" t="s">
        <v>33</v>
      </c>
      <c r="B2" s="2">
        <v>0.71428571399999996</v>
      </c>
      <c r="C2" s="2">
        <v>1</v>
      </c>
    </row>
    <row r="3" spans="1:7" x14ac:dyDescent="0.2">
      <c r="A3" t="s">
        <v>34</v>
      </c>
      <c r="B3" s="2">
        <v>1.443001443</v>
      </c>
      <c r="C3" s="2">
        <v>1.8</v>
      </c>
    </row>
    <row r="4" spans="1:7" x14ac:dyDescent="0.2">
      <c r="A4" t="s">
        <v>35</v>
      </c>
      <c r="B4" s="2">
        <v>1.1454753719999999</v>
      </c>
      <c r="C4" s="2">
        <v>0.8</v>
      </c>
    </row>
    <row r="7" spans="1:7" x14ac:dyDescent="0.2">
      <c r="A7" t="s">
        <v>36</v>
      </c>
      <c r="B7" t="s">
        <v>2</v>
      </c>
      <c r="C7" t="s">
        <v>31</v>
      </c>
    </row>
    <row r="8" spans="1:7" x14ac:dyDescent="0.2">
      <c r="A8" t="s">
        <v>28</v>
      </c>
      <c r="B8" s="2">
        <v>21</v>
      </c>
      <c r="C8">
        <v>2.2000000000000002</v>
      </c>
      <c r="E8">
        <f>(B8-B10)*100/B8</f>
        <v>-14.285714285714286</v>
      </c>
    </row>
    <row r="9" spans="1:7" x14ac:dyDescent="0.2">
      <c r="A9" t="s">
        <v>2</v>
      </c>
      <c r="B9">
        <v>25</v>
      </c>
      <c r="C9">
        <v>2.8</v>
      </c>
      <c r="E9">
        <f>(B9-B10)*100/B9</f>
        <v>4</v>
      </c>
      <c r="F9">
        <f>(C8-C10)*100/C8</f>
        <v>-4.545454545454529</v>
      </c>
    </row>
    <row r="10" spans="1:7" x14ac:dyDescent="0.2">
      <c r="A10" t="s">
        <v>47</v>
      </c>
      <c r="B10" s="2">
        <v>24</v>
      </c>
      <c r="C10">
        <v>2.2999999999999998</v>
      </c>
    </row>
    <row r="11" spans="1:7" x14ac:dyDescent="0.2">
      <c r="A11" t="s">
        <v>48</v>
      </c>
      <c r="B11">
        <v>22</v>
      </c>
      <c r="C11">
        <v>2</v>
      </c>
      <c r="E11">
        <f>(B11-B8)*100/B8</f>
        <v>4.7619047619047619</v>
      </c>
      <c r="F11">
        <f>(C11-C8)*100/C8</f>
        <v>-9.0909090909090988</v>
      </c>
    </row>
    <row r="13" spans="1:7" x14ac:dyDescent="0.2">
      <c r="A13" t="s">
        <v>37</v>
      </c>
    </row>
    <row r="14" spans="1:7" x14ac:dyDescent="0.2">
      <c r="A14" t="s">
        <v>37</v>
      </c>
      <c r="B14" t="s">
        <v>38</v>
      </c>
      <c r="C14" t="s">
        <v>31</v>
      </c>
      <c r="G14" s="2"/>
    </row>
    <row r="15" spans="1:7" x14ac:dyDescent="0.2">
      <c r="A15" t="s">
        <v>33</v>
      </c>
      <c r="B15">
        <v>1.1053387863380126</v>
      </c>
      <c r="C15">
        <v>1.4</v>
      </c>
      <c r="G15" s="2"/>
    </row>
    <row r="16" spans="1:7" x14ac:dyDescent="0.2">
      <c r="A16" t="s">
        <v>39</v>
      </c>
      <c r="B16">
        <v>2.0707792342258395</v>
      </c>
      <c r="C16">
        <v>2.7</v>
      </c>
    </row>
    <row r="17" spans="1:6" x14ac:dyDescent="0.2">
      <c r="A17" t="s">
        <v>40</v>
      </c>
      <c r="B17">
        <v>1.6129032258064515</v>
      </c>
      <c r="C17">
        <v>2</v>
      </c>
    </row>
    <row r="19" spans="1:6" x14ac:dyDescent="0.2">
      <c r="A19" t="s">
        <v>32</v>
      </c>
      <c r="B19" s="2" t="s">
        <v>2</v>
      </c>
      <c r="C19" s="2" t="s">
        <v>31</v>
      </c>
    </row>
    <row r="20" spans="1:6" x14ac:dyDescent="0.2">
      <c r="A20" t="s">
        <v>33</v>
      </c>
      <c r="B20">
        <v>0.7142857142857143</v>
      </c>
      <c r="C20">
        <v>0.99999999999999956</v>
      </c>
    </row>
    <row r="21" spans="1:6" x14ac:dyDescent="0.2">
      <c r="A21" t="s">
        <v>34</v>
      </c>
      <c r="B21">
        <v>1.4430014430014431</v>
      </c>
      <c r="C21">
        <v>1.8000000000000003</v>
      </c>
    </row>
    <row r="22" spans="1:6" x14ac:dyDescent="0.2">
      <c r="A22" t="s">
        <v>45</v>
      </c>
      <c r="B22">
        <v>1.3888888888888888</v>
      </c>
      <c r="C22">
        <v>1</v>
      </c>
    </row>
    <row r="23" spans="1:6" x14ac:dyDescent="0.2">
      <c r="A23" t="s">
        <v>46</v>
      </c>
      <c r="B23">
        <v>1.1454753722794959</v>
      </c>
      <c r="C23">
        <v>0.79999999999999982</v>
      </c>
      <c r="E23">
        <f>(B23-B20)*100/B23</f>
        <v>37.642857142857139</v>
      </c>
      <c r="F23">
        <f>(C23-C20)*100/C23</f>
        <v>-24.999999999999972</v>
      </c>
    </row>
    <row r="25" spans="1:6" x14ac:dyDescent="0.2">
      <c r="B25">
        <f>(B22-B20)*100/B22</f>
        <v>48.571428571428569</v>
      </c>
    </row>
    <row r="29" spans="1:6" x14ac:dyDescent="0.2">
      <c r="B29" t="s">
        <v>2</v>
      </c>
      <c r="C29" t="s">
        <v>31</v>
      </c>
    </row>
    <row r="30" spans="1:6" x14ac:dyDescent="0.2">
      <c r="A30" t="s">
        <v>91</v>
      </c>
      <c r="B30">
        <v>4.7619047619047619</v>
      </c>
      <c r="C30">
        <v>-9.0909090909090988</v>
      </c>
    </row>
    <row r="31" spans="1:6" x14ac:dyDescent="0.2">
      <c r="A31" t="s">
        <v>92</v>
      </c>
      <c r="B31">
        <f>E23/2</f>
        <v>18.821428571428569</v>
      </c>
      <c r="C31">
        <f>F23/2</f>
        <v>-12.499999999999986</v>
      </c>
    </row>
    <row r="33" spans="1:3" x14ac:dyDescent="0.2">
      <c r="B33" t="s">
        <v>93</v>
      </c>
      <c r="C33" t="s">
        <v>94</v>
      </c>
    </row>
    <row r="34" spans="1:3" x14ac:dyDescent="0.2">
      <c r="A34" t="s">
        <v>2</v>
      </c>
      <c r="B34">
        <v>4.7619047619047619</v>
      </c>
      <c r="C34">
        <v>18.821428571428569</v>
      </c>
    </row>
    <row r="35" spans="1:3" x14ac:dyDescent="0.2">
      <c r="A35" t="s">
        <v>31</v>
      </c>
      <c r="B35">
        <v>-9.0909090909090988</v>
      </c>
      <c r="C35">
        <v>-12.499999999999986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Benchmark--Perf--Energy</vt:lpstr>
      <vt:lpstr>Data-Complete</vt:lpstr>
      <vt:lpstr>Comparison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2023-11-24T21:34:50Z</dcterms:modified>
</cp:coreProperties>
</file>